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01"/>
  <workbookPr/>
  <mc:AlternateContent xmlns:mc="http://schemas.openxmlformats.org/markup-compatibility/2006">
    <mc:Choice Requires="x15">
      <x15ac:absPath xmlns:x15ac="http://schemas.microsoft.com/office/spreadsheetml/2010/11/ac" url="C:\Users\MSi\Desktop\HBL Financial Model\"/>
    </mc:Choice>
  </mc:AlternateContent>
  <xr:revisionPtr revIDLastSave="0" documentId="13_ncr:1_{0C222FB4-90F0-4738-A246-EFE6D29F7873}" xr6:coauthVersionLast="47" xr6:coauthVersionMax="47" xr10:uidLastSave="{00000000-0000-0000-0000-000000000000}"/>
  <bookViews>
    <workbookView xWindow="-108" yWindow="-108" windowWidth="23256" windowHeight="12576" xr2:uid="{45D733D6-4B10-49FC-A5A1-59AAF4F7B179}"/>
  </bookViews>
  <sheets>
    <sheet name="Summary" sheetId="4" r:id="rId1"/>
    <sheet name="SOFP" sheetId="1" r:id="rId2"/>
    <sheet name="P&amp;L" sheetId="2" r:id="rId3"/>
    <sheet name="CF" sheetId="3" r:id="rId4"/>
    <sheet name="Capital Adequacy and Liquidity" sheetId="5" r:id="rId5"/>
    <sheet name="Credit Loss Allowance" sheetId="24" r:id="rId6"/>
    <sheet name="Policy Rate" sheetId="16" r:id="rId7"/>
    <sheet name="National Advances" sheetId="15" r:id="rId8"/>
    <sheet name="National Deposits" sheetId="17" r:id="rId9"/>
    <sheet name="Saving Account Rate" sheetId="23" r:id="rId10"/>
    <sheet name="Market Treasury Bills" sheetId="19" r:id="rId11"/>
    <sheet name="Pakistan Investment Bonds" sheetId="20" r:id="rId12"/>
    <sheet name="Ijara Sukuk VRR" sheetId="21" r:id="rId13"/>
    <sheet name="Ijara Sukuk FRR" sheetId="22" r:id="rId14"/>
    <sheet name="HBL Stock Price Daily" sheetId="11" state="hidden" r:id="rId15"/>
    <sheet name="Regression Daily" sheetId="12" state="hidden" r:id="rId16"/>
    <sheet name="HBL Stock Price Weekly" sheetId="6" state="hidden" r:id="rId17"/>
    <sheet name="Regression Weekly" sheetId="13" state="hidden" r:id="rId18"/>
    <sheet name="HBL Stock Price Monthly" sheetId="9" r:id="rId19"/>
    <sheet name="Regression Monthly" sheetId="10" r:id="rId20"/>
  </sheets>
  <externalReferences>
    <externalReference r:id="rId21"/>
    <externalReference r:id="rId22"/>
  </externalReferences>
  <definedNames>
    <definedName name="_xlnm._FilterDatabase" localSheetId="10" hidden="1">'Market Treasury Bills'!$A$9:$G$634</definedName>
    <definedName name="_Key1" hidden="1">[1]F!#REF!</definedName>
    <definedName name="_Order1" hidden="1">255</definedName>
    <definedName name="_Sort" hidden="1">[1]F!#REF!</definedName>
    <definedName name="_xlnm.Print_Area" localSheetId="10">'Market Treasury Bills'!$A$1:$G$732</definedName>
    <definedName name="_xlnm.Print_Titles" localSheetId="10">'Market Treasury Bills'!$1:$9</definedName>
    <definedName name="Six">'[1]6-Months'!$A$17:$S$1334</definedName>
    <definedName name="Sixes2">'[2]MOF 6M'!$A$7:$J$1130</definedName>
    <definedName name="Three">'[1]3-Months'!$A$9:$T$1555</definedName>
    <definedName name="three1">'[2]MOF 3M'!$A$6:$J$288</definedName>
    <definedName name="Twelve">'[1]12-Months'!$A$18:$S$1478</definedName>
    <definedName name="Twelves1">'[2]MOF 12M'!$A$7:$J$1662</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ge042_13f9bbd4-7260-42e3-8c08-84d6b9975904" name="Page042" connection="Query - Page042"/>
          <x15:modelTable id="Page041_c27b5f10-0e25-4922-9df3-f469826f4170" name="Page041" connection="Query - Page041"/>
          <x15:modelTable id="Page040_dab53041-43df-4f70-a1fa-71c0de458117" name="Page040" connection="Query - Page040"/>
          <x15:modelTable id="Page039_3c9c955a-b2b2-437f-a164-e2d8f1ff0519" name="Page039" connection="Query - Page039"/>
          <x15:modelTable id="Page038_18ba7c3e-7271-482f-86f5-528bf5c176c5" name="Page038" connection="Query - Page038"/>
          <x15:modelTable id="Page037_4a4277e3-0fea-4849-af79-c4147a91672d" name="Page037" connection="Query - Page037"/>
          <x15:modelTable id="Page036_ddf28ca6-cc76-4701-a6f5-0c9ed6d3ff29" name="Page036" connection="Query - Page036"/>
          <x15:modelTable id="Page035_db0fdf59-94e0-4f5b-a515-2e61ef42d0e1" name="Page035" connection="Query - Page035"/>
          <x15:modelTable id="Page034_e0718d16-8c1a-480f-a719-e906a8a65499" name="Page034" connection="Query - Page034"/>
          <x15:modelTable id="Page033_84efc644-d65e-46b4-bb2a-e1d48fe31606" name="Page033" connection="Query - Page033"/>
          <x15:modelTable id="Page032_e24a15e1-af5a-41ab-8099-60ad082b8827" name="Page032" connection="Query - Page032"/>
          <x15:modelTable id="Page031_12614b91-92bd-4bbe-a8f9-d59bc2302405" name="Page031" connection="Query - Page031"/>
          <x15:modelTable id="Page030_b34b6f71-271d-449e-9081-3deb0c832915" name="Page030" connection="Query - Page030"/>
          <x15:modelTable id="Page029_7dab4a65-6651-4d50-8159-579810aed654" name="Page029" connection="Query - Page02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1" l="1"/>
  <c r="F40" i="17"/>
  <c r="K87" i="2"/>
  <c r="E44" i="24"/>
  <c r="B44" i="24"/>
  <c r="C38" i="24"/>
  <c r="C41" i="1"/>
  <c r="C42" i="1"/>
  <c r="E33" i="1"/>
  <c r="C23" i="4"/>
  <c r="P14" i="9"/>
  <c r="K58" i="4"/>
  <c r="C27" i="4"/>
  <c r="K22" i="4"/>
  <c r="I22" i="4"/>
  <c r="G22" i="4"/>
  <c r="E22" i="4"/>
  <c r="C22" i="4"/>
  <c r="K20" i="4"/>
  <c r="I20" i="4"/>
  <c r="G20" i="4"/>
  <c r="E20" i="4"/>
  <c r="C20" i="4"/>
  <c r="P9" i="9"/>
  <c r="K79" i="4"/>
  <c r="I79" i="4"/>
  <c r="G79" i="4"/>
  <c r="E79" i="4"/>
  <c r="K81" i="4"/>
  <c r="K80" i="4"/>
  <c r="I81" i="4"/>
  <c r="I80" i="4"/>
  <c r="G81" i="4"/>
  <c r="G80" i="4"/>
  <c r="E81" i="4"/>
  <c r="E80" i="4"/>
  <c r="P5" i="9" l="1"/>
  <c r="K77" i="3"/>
  <c r="K75" i="3"/>
  <c r="J151" i="2"/>
  <c r="L150" i="2"/>
  <c r="L151" i="2" s="1"/>
  <c r="J150" i="2"/>
  <c r="H150" i="2"/>
  <c r="H151" i="2" s="1"/>
  <c r="F150" i="2"/>
  <c r="F151" i="2" s="1"/>
  <c r="D151" i="2" s="1"/>
  <c r="U81" i="17"/>
  <c r="R81" i="17"/>
  <c r="O81" i="17"/>
  <c r="L81" i="17"/>
  <c r="I81" i="17"/>
  <c r="F81" i="17"/>
  <c r="O104" i="17"/>
  <c r="O105" i="17" s="1"/>
  <c r="U101" i="17"/>
  <c r="U102" i="17" s="1"/>
  <c r="U104" i="17"/>
  <c r="U105" i="17" s="1"/>
  <c r="R104" i="17"/>
  <c r="R105" i="17" s="1"/>
  <c r="R101" i="17"/>
  <c r="R102" i="17" s="1"/>
  <c r="O101" i="17"/>
  <c r="O102" i="17" s="1"/>
  <c r="L104" i="17"/>
  <c r="L105" i="17" s="1"/>
  <c r="L101" i="17"/>
  <c r="L102" i="17" s="1"/>
  <c r="I104" i="17"/>
  <c r="I105" i="17" s="1"/>
  <c r="I101" i="17"/>
  <c r="I102" i="17" s="1"/>
  <c r="F104" i="17"/>
  <c r="F105" i="17" s="1"/>
  <c r="C105" i="17" s="1"/>
  <c r="F101" i="17"/>
  <c r="F102" i="17" s="1"/>
  <c r="U107" i="17"/>
  <c r="R107" i="17"/>
  <c r="O107" i="17"/>
  <c r="L107" i="17"/>
  <c r="I107" i="17"/>
  <c r="F107" i="17"/>
  <c r="C93" i="17"/>
  <c r="C90" i="17"/>
  <c r="U98" i="17"/>
  <c r="U99" i="17" s="1"/>
  <c r="R98" i="17"/>
  <c r="R99" i="17" s="1"/>
  <c r="O98" i="17"/>
  <c r="O99" i="17" s="1"/>
  <c r="L98" i="17"/>
  <c r="L99" i="17" s="1"/>
  <c r="I98" i="17"/>
  <c r="I99" i="17" s="1"/>
  <c r="F98" i="17"/>
  <c r="F99" i="17" s="1"/>
  <c r="U83" i="17"/>
  <c r="R83" i="17"/>
  <c r="O83" i="17"/>
  <c r="L83" i="17"/>
  <c r="I83" i="17"/>
  <c r="F83" i="17"/>
  <c r="C102" i="17" l="1"/>
  <c r="F84" i="17"/>
  <c r="C99" i="17"/>
  <c r="K20" i="3"/>
  <c r="K19" i="3"/>
  <c r="K18" i="3"/>
  <c r="D14" i="24"/>
  <c r="D13" i="24"/>
  <c r="D12" i="24"/>
  <c r="D11" i="24"/>
  <c r="D10" i="24"/>
  <c r="D9" i="24"/>
  <c r="D8" i="24"/>
  <c r="D7" i="24"/>
  <c r="D6" i="24"/>
  <c r="D5" i="24"/>
  <c r="D3" i="24"/>
  <c r="C3" i="24" a="1"/>
  <c r="C3" i="24" s="1"/>
  <c r="C5" i="24" a="1"/>
  <c r="C5" i="24" s="1"/>
  <c r="C6" i="24" a="1"/>
  <c r="C6" i="24" s="1"/>
  <c r="C7" i="24" a="1"/>
  <c r="C7" i="24" s="1"/>
  <c r="C8" i="24" a="1"/>
  <c r="C8" i="24" s="1"/>
  <c r="C9" i="24" a="1"/>
  <c r="C9" i="24" s="1"/>
  <c r="C10" i="24" a="1"/>
  <c r="C10" i="24" s="1"/>
  <c r="C11" i="24" a="1"/>
  <c r="C11" i="24" s="1"/>
  <c r="C12" i="24" a="1"/>
  <c r="C12" i="24" s="1"/>
  <c r="C13" i="24" a="1"/>
  <c r="C13" i="24" s="1"/>
  <c r="C14" i="24" a="1"/>
  <c r="C14" i="24" s="1"/>
  <c r="U14" i="24"/>
  <c r="U13" i="24"/>
  <c r="U12" i="24"/>
  <c r="U11" i="24"/>
  <c r="U10" i="24"/>
  <c r="U9" i="24"/>
  <c r="U8" i="24"/>
  <c r="U7" i="24"/>
  <c r="U6" i="24"/>
  <c r="U5" i="24"/>
  <c r="U4" i="24"/>
  <c r="U3" i="24"/>
  <c r="R14" i="24"/>
  <c r="R13" i="24"/>
  <c r="R12" i="24"/>
  <c r="R11" i="24"/>
  <c r="R10" i="24"/>
  <c r="R9" i="24"/>
  <c r="R8" i="24"/>
  <c r="R7" i="24"/>
  <c r="R6" i="24"/>
  <c r="R5" i="24"/>
  <c r="R4" i="24"/>
  <c r="R3" i="24"/>
  <c r="O14" i="24"/>
  <c r="O13" i="24"/>
  <c r="O12" i="24"/>
  <c r="O11" i="24"/>
  <c r="O10" i="24"/>
  <c r="O9" i="24"/>
  <c r="O8" i="24"/>
  <c r="O7" i="24"/>
  <c r="O6" i="24"/>
  <c r="O5" i="24"/>
  <c r="O4" i="24"/>
  <c r="O3" i="24"/>
  <c r="L14" i="24"/>
  <c r="L13" i="24"/>
  <c r="L12" i="24"/>
  <c r="L11" i="24"/>
  <c r="L10" i="24"/>
  <c r="L9" i="24"/>
  <c r="L8" i="24"/>
  <c r="L7" i="24"/>
  <c r="L6" i="24"/>
  <c r="L5" i="24"/>
  <c r="L4" i="24"/>
  <c r="L3" i="24"/>
  <c r="I14" i="24"/>
  <c r="I13" i="24"/>
  <c r="I12" i="24"/>
  <c r="I11" i="24"/>
  <c r="I10" i="24"/>
  <c r="I9" i="24"/>
  <c r="I8" i="24"/>
  <c r="I7" i="24"/>
  <c r="I6" i="24"/>
  <c r="I5" i="24"/>
  <c r="I4" i="24"/>
  <c r="I3" i="24"/>
  <c r="F5" i="24"/>
  <c r="F6" i="24"/>
  <c r="F7" i="24"/>
  <c r="F8" i="24"/>
  <c r="F9" i="24"/>
  <c r="F10" i="24"/>
  <c r="F11" i="24"/>
  <c r="F12" i="24"/>
  <c r="F13" i="24"/>
  <c r="F14" i="24"/>
  <c r="F3" i="24"/>
  <c r="F4" i="24"/>
  <c r="K17" i="3"/>
  <c r="P155" i="2"/>
  <c r="N155" i="2"/>
  <c r="L155" i="2"/>
  <c r="J155" i="2"/>
  <c r="H155" i="2"/>
  <c r="F155" i="2"/>
  <c r="D147" i="2"/>
  <c r="P149" i="2"/>
  <c r="N149" i="2"/>
  <c r="L149" i="2"/>
  <c r="J149" i="2"/>
  <c r="H149" i="2"/>
  <c r="F149" i="2"/>
  <c r="H144" i="2"/>
  <c r="H145" i="2" s="1"/>
  <c r="F144" i="2"/>
  <c r="F145" i="2" s="1"/>
  <c r="J143" i="2"/>
  <c r="J145" i="2" s="1"/>
  <c r="L143" i="2"/>
  <c r="N143" i="2"/>
  <c r="J144" i="2"/>
  <c r="L144" i="2"/>
  <c r="N144" i="2"/>
  <c r="P144" i="2"/>
  <c r="P145" i="2" s="1"/>
  <c r="C21" i="4"/>
  <c r="E21" i="4"/>
  <c r="E4" i="4"/>
  <c r="P120" i="1"/>
  <c r="P123" i="1" s="1"/>
  <c r="P124" i="1" s="1"/>
  <c r="N120" i="1"/>
  <c r="N123" i="1" s="1"/>
  <c r="N124" i="1" s="1"/>
  <c r="L120" i="1"/>
  <c r="L123" i="1" s="1"/>
  <c r="L124" i="1" s="1"/>
  <c r="J120" i="1"/>
  <c r="J123" i="1" s="1"/>
  <c r="J124" i="1" s="1"/>
  <c r="H120" i="1"/>
  <c r="H122" i="1"/>
  <c r="F121" i="1"/>
  <c r="F120" i="1"/>
  <c r="P114" i="1"/>
  <c r="P116" i="1"/>
  <c r="N116" i="1"/>
  <c r="N114" i="1"/>
  <c r="L114" i="1"/>
  <c r="L116" i="1"/>
  <c r="J116" i="1"/>
  <c r="J114" i="1"/>
  <c r="H114" i="1"/>
  <c r="H116" i="1"/>
  <c r="F116" i="1"/>
  <c r="F114" i="1"/>
  <c r="F115" i="1"/>
  <c r="N110" i="1"/>
  <c r="P108" i="1"/>
  <c r="P110" i="1"/>
  <c r="N108" i="1"/>
  <c r="L108" i="1"/>
  <c r="L110" i="1"/>
  <c r="J110" i="1"/>
  <c r="J108" i="1"/>
  <c r="H110" i="1"/>
  <c r="H108" i="1"/>
  <c r="F108" i="1"/>
  <c r="P142" i="1"/>
  <c r="P144" i="1" s="1"/>
  <c r="N142" i="1"/>
  <c r="N144" i="1" s="1"/>
  <c r="L142" i="1"/>
  <c r="L144" i="1" s="1"/>
  <c r="J142" i="1"/>
  <c r="J144" i="1" s="1"/>
  <c r="H142" i="1"/>
  <c r="H144" i="1" s="1"/>
  <c r="F142" i="1"/>
  <c r="F80" i="1"/>
  <c r="O140" i="2"/>
  <c r="O139" i="2"/>
  <c r="O138" i="2"/>
  <c r="O137" i="2"/>
  <c r="O136" i="2"/>
  <c r="O135" i="2"/>
  <c r="M140" i="2"/>
  <c r="M139" i="2"/>
  <c r="M138" i="2"/>
  <c r="M137" i="2"/>
  <c r="M136" i="2"/>
  <c r="M135" i="2"/>
  <c r="K140" i="2"/>
  <c r="K139" i="2"/>
  <c r="K138" i="2"/>
  <c r="K137" i="2"/>
  <c r="K136" i="2"/>
  <c r="K135" i="2"/>
  <c r="I140" i="2"/>
  <c r="I139" i="2"/>
  <c r="I138" i="2"/>
  <c r="I137" i="2"/>
  <c r="I136" i="2"/>
  <c r="I135" i="2"/>
  <c r="G140" i="2"/>
  <c r="G139" i="2"/>
  <c r="G138" i="2"/>
  <c r="G137" i="2"/>
  <c r="G136" i="2"/>
  <c r="G135" i="2"/>
  <c r="E136" i="2"/>
  <c r="E137" i="2"/>
  <c r="E138" i="2"/>
  <c r="E139" i="2"/>
  <c r="E140" i="2"/>
  <c r="E135" i="2"/>
  <c r="C138" i="2" l="1"/>
  <c r="L145" i="2"/>
  <c r="D155" i="2"/>
  <c r="D154" i="2" s="1"/>
  <c r="K12" i="3" s="1"/>
  <c r="N111" i="1"/>
  <c r="N112" i="1" s="1"/>
  <c r="F144" i="1"/>
  <c r="C98" i="17"/>
  <c r="C94" i="17" s="1"/>
  <c r="K15" i="3" s="1"/>
  <c r="D150" i="2"/>
  <c r="K70" i="3" s="1"/>
  <c r="N145" i="2"/>
  <c r="D149" i="2"/>
  <c r="D148" i="2" s="1"/>
  <c r="K13" i="3" s="1"/>
  <c r="C137" i="2"/>
  <c r="C136" i="2"/>
  <c r="C135" i="2"/>
  <c r="C139" i="2"/>
  <c r="C140" i="2"/>
  <c r="C58" i="4"/>
  <c r="O120" i="1"/>
  <c r="O122" i="1"/>
  <c r="O121" i="1"/>
  <c r="M120" i="1"/>
  <c r="M121" i="1"/>
  <c r="M122" i="1"/>
  <c r="K121" i="1"/>
  <c r="K122" i="1"/>
  <c r="K120" i="1"/>
  <c r="I122" i="1"/>
  <c r="I120" i="1"/>
  <c r="I121" i="1"/>
  <c r="H123" i="1"/>
  <c r="F123" i="1"/>
  <c r="E121" i="1" s="1"/>
  <c r="P111" i="1"/>
  <c r="P112" i="1" s="1"/>
  <c r="F117" i="1"/>
  <c r="E116" i="1" s="1"/>
  <c r="C116" i="1" s="1"/>
  <c r="P117" i="1"/>
  <c r="O114" i="1" s="1"/>
  <c r="N117" i="1"/>
  <c r="L117" i="1"/>
  <c r="K114" i="1" s="1"/>
  <c r="J117" i="1"/>
  <c r="I116" i="1" s="1"/>
  <c r="H117" i="1"/>
  <c r="G115" i="1" s="1"/>
  <c r="J111" i="1"/>
  <c r="J112" i="1" s="1"/>
  <c r="L111" i="1"/>
  <c r="L112" i="1" s="1"/>
  <c r="M110" i="1"/>
  <c r="H111" i="1"/>
  <c r="G110" i="1" s="1"/>
  <c r="F111" i="1"/>
  <c r="E108" i="1" s="1"/>
  <c r="O33" i="1"/>
  <c r="O32" i="1"/>
  <c r="M33" i="1"/>
  <c r="M32" i="1"/>
  <c r="K33" i="1"/>
  <c r="K32" i="1"/>
  <c r="I33" i="1"/>
  <c r="I32" i="1"/>
  <c r="G33" i="1"/>
  <c r="G32" i="1"/>
  <c r="E32" i="1"/>
  <c r="P38" i="2"/>
  <c r="P39" i="2" s="1"/>
  <c r="N38" i="2"/>
  <c r="N39" i="2" s="1"/>
  <c r="L38" i="2"/>
  <c r="L39" i="2" s="1"/>
  <c r="J38" i="2"/>
  <c r="J39" i="2" s="1"/>
  <c r="H38" i="2"/>
  <c r="H39" i="2" s="1"/>
  <c r="F38" i="2"/>
  <c r="C44" i="24"/>
  <c r="D44" i="24"/>
  <c r="O32" i="2"/>
  <c r="O31" i="2"/>
  <c r="M32" i="2"/>
  <c r="M31" i="2"/>
  <c r="K32" i="2"/>
  <c r="K31" i="2"/>
  <c r="I32" i="2"/>
  <c r="I31" i="2"/>
  <c r="G32" i="2"/>
  <c r="G31" i="2"/>
  <c r="E32" i="2"/>
  <c r="E31" i="2"/>
  <c r="D35" i="2"/>
  <c r="C10" i="4" s="1"/>
  <c r="D38" i="24"/>
  <c r="D4" i="24" s="1"/>
  <c r="B38" i="24"/>
  <c r="C31" i="24"/>
  <c r="D31" i="24"/>
  <c r="B31" i="24"/>
  <c r="F44" i="24"/>
  <c r="G44" i="24"/>
  <c r="E42" i="24"/>
  <c r="F42" i="24"/>
  <c r="G42" i="24"/>
  <c r="E32" i="24"/>
  <c r="F32" i="24"/>
  <c r="G32" i="24"/>
  <c r="E33" i="24"/>
  <c r="F33" i="24"/>
  <c r="G33" i="24"/>
  <c r="E34" i="24"/>
  <c r="F34" i="24"/>
  <c r="G34" i="24"/>
  <c r="E35" i="24"/>
  <c r="F35" i="24"/>
  <c r="G35" i="24"/>
  <c r="E36" i="24"/>
  <c r="F36" i="24"/>
  <c r="G36" i="24"/>
  <c r="E37" i="24"/>
  <c r="F37" i="24"/>
  <c r="G37" i="24"/>
  <c r="E38" i="24"/>
  <c r="F38" i="24"/>
  <c r="G38" i="24"/>
  <c r="E39" i="24"/>
  <c r="F39" i="24"/>
  <c r="G39" i="24"/>
  <c r="E40" i="24"/>
  <c r="F40" i="24"/>
  <c r="G40" i="24"/>
  <c r="E41" i="24"/>
  <c r="F41" i="24"/>
  <c r="G41" i="24"/>
  <c r="G31" i="24"/>
  <c r="E31" i="24"/>
  <c r="F31" i="24"/>
  <c r="K44" i="24"/>
  <c r="L44" i="24"/>
  <c r="M44" i="24"/>
  <c r="N44" i="24"/>
  <c r="O44" i="24"/>
  <c r="P44" i="24"/>
  <c r="Q44" i="24"/>
  <c r="R44" i="24"/>
  <c r="S44" i="24"/>
  <c r="T44" i="24"/>
  <c r="U44" i="24"/>
  <c r="V44" i="24"/>
  <c r="J44" i="24"/>
  <c r="I44" i="24"/>
  <c r="H44" i="24"/>
  <c r="D145" i="2" l="1"/>
  <c r="D144" i="2" s="1"/>
  <c r="K11" i="3" s="1"/>
  <c r="F39" i="2"/>
  <c r="D38" i="2"/>
  <c r="M108" i="1"/>
  <c r="M109" i="1"/>
  <c r="F124" i="1"/>
  <c r="E122" i="1"/>
  <c r="E120" i="1"/>
  <c r="H124" i="1"/>
  <c r="G122" i="1"/>
  <c r="G121" i="1"/>
  <c r="C121" i="1" s="1"/>
  <c r="G120" i="1"/>
  <c r="O110" i="1"/>
  <c r="O108" i="1"/>
  <c r="O109" i="1"/>
  <c r="E114" i="1"/>
  <c r="C114" i="1" s="1"/>
  <c r="I108" i="1"/>
  <c r="H118" i="1"/>
  <c r="I114" i="1"/>
  <c r="J118" i="1"/>
  <c r="I115" i="1"/>
  <c r="K116" i="1"/>
  <c r="K115" i="1"/>
  <c r="L118" i="1"/>
  <c r="F118" i="1"/>
  <c r="E115" i="1"/>
  <c r="C115" i="1" s="1"/>
  <c r="P118" i="1"/>
  <c r="O116" i="1"/>
  <c r="O115" i="1"/>
  <c r="N118" i="1"/>
  <c r="M115" i="1"/>
  <c r="M116" i="1"/>
  <c r="M114" i="1"/>
  <c r="G116" i="1"/>
  <c r="G114" i="1"/>
  <c r="I110" i="1"/>
  <c r="K108" i="1"/>
  <c r="K110" i="1"/>
  <c r="K109" i="1"/>
  <c r="I109" i="1"/>
  <c r="E109" i="1"/>
  <c r="E110" i="1"/>
  <c r="F112" i="1"/>
  <c r="H112" i="1"/>
  <c r="G109" i="1"/>
  <c r="G108" i="1"/>
  <c r="C33" i="1"/>
  <c r="C32" i="1"/>
  <c r="C31" i="2"/>
  <c r="C32" i="2"/>
  <c r="C4" i="24" a="1"/>
  <c r="C4" i="24" s="1"/>
  <c r="D15" i="24" s="1"/>
  <c r="D25" i="2" s="1"/>
  <c r="O62" i="1"/>
  <c r="O61" i="1"/>
  <c r="M62" i="1"/>
  <c r="M61" i="1"/>
  <c r="K62" i="1"/>
  <c r="K61" i="1"/>
  <c r="I62" i="1"/>
  <c r="I61" i="1"/>
  <c r="G62" i="1"/>
  <c r="G61" i="1"/>
  <c r="E61" i="1"/>
  <c r="E62" i="1"/>
  <c r="P63" i="1"/>
  <c r="P59" i="1"/>
  <c r="N63" i="1"/>
  <c r="N59" i="1"/>
  <c r="L63" i="1"/>
  <c r="L59" i="1"/>
  <c r="J63" i="1"/>
  <c r="J59" i="1"/>
  <c r="P66" i="1"/>
  <c r="P65" i="1"/>
  <c r="N66" i="1"/>
  <c r="N65" i="1"/>
  <c r="L66" i="1"/>
  <c r="L65" i="1"/>
  <c r="J66" i="1"/>
  <c r="J65" i="1"/>
  <c r="M27" i="2"/>
  <c r="K27" i="2"/>
  <c r="K27" i="4" s="1"/>
  <c r="I27" i="2"/>
  <c r="I27" i="4" s="1"/>
  <c r="G27" i="2"/>
  <c r="G27" i="4" s="1"/>
  <c r="E27" i="2"/>
  <c r="E27" i="4" s="1"/>
  <c r="M20" i="2"/>
  <c r="M19" i="2"/>
  <c r="K20" i="2"/>
  <c r="K19" i="2"/>
  <c r="I20" i="2"/>
  <c r="I19" i="2"/>
  <c r="G20" i="2"/>
  <c r="G19" i="2"/>
  <c r="E20" i="2"/>
  <c r="E19" i="2"/>
  <c r="D21" i="2" a="1"/>
  <c r="D21" i="2" s="1"/>
  <c r="D14" i="2" a="1"/>
  <c r="D14" i="2" s="1"/>
  <c r="D13" i="2" a="1"/>
  <c r="D13" i="2" s="1"/>
  <c r="M12" i="2"/>
  <c r="M11" i="2"/>
  <c r="M10" i="2"/>
  <c r="M9" i="2"/>
  <c r="M8" i="2"/>
  <c r="K12" i="2"/>
  <c r="K10" i="2"/>
  <c r="K9" i="2"/>
  <c r="K8" i="2"/>
  <c r="I12" i="2"/>
  <c r="I10" i="2"/>
  <c r="I9" i="2"/>
  <c r="I8" i="2"/>
  <c r="G12" i="2"/>
  <c r="G10" i="2"/>
  <c r="G9" i="2"/>
  <c r="G8" i="2"/>
  <c r="E9" i="2"/>
  <c r="E10" i="2"/>
  <c r="E11" i="2"/>
  <c r="E12" i="2"/>
  <c r="E8" i="2"/>
  <c r="U95" i="17"/>
  <c r="R95" i="17"/>
  <c r="O95" i="17"/>
  <c r="L95" i="17"/>
  <c r="I95" i="17"/>
  <c r="F95" i="17"/>
  <c r="U82" i="17"/>
  <c r="U84" i="17" s="1"/>
  <c r="R82" i="17"/>
  <c r="R84" i="17" s="1"/>
  <c r="O82" i="17"/>
  <c r="O84" i="17" s="1"/>
  <c r="L82" i="17"/>
  <c r="L84" i="17" s="1"/>
  <c r="I82" i="17"/>
  <c r="I84" i="17" s="1"/>
  <c r="F82" i="17"/>
  <c r="U85" i="17"/>
  <c r="O85" i="17"/>
  <c r="R85" i="17"/>
  <c r="L85" i="17"/>
  <c r="I85" i="17"/>
  <c r="F85" i="17"/>
  <c r="C43" i="23"/>
  <c r="D43" i="23" s="1"/>
  <c r="C41" i="23"/>
  <c r="D41" i="23" s="1"/>
  <c r="C42" i="23"/>
  <c r="D42" i="23" s="1"/>
  <c r="C52" i="23"/>
  <c r="D52" i="23" s="1"/>
  <c r="C51" i="23"/>
  <c r="D51" i="23" s="1"/>
  <c r="C50" i="23"/>
  <c r="D50" i="23" s="1"/>
  <c r="C49" i="23"/>
  <c r="D49" i="23" s="1"/>
  <c r="C48" i="23"/>
  <c r="C40" i="23"/>
  <c r="D40" i="23" s="1"/>
  <c r="C39" i="23"/>
  <c r="D35" i="23"/>
  <c r="C34" i="23"/>
  <c r="D34" i="23" s="1"/>
  <c r="C33" i="23"/>
  <c r="D33" i="23" s="1"/>
  <c r="C32" i="23"/>
  <c r="C129" i="16"/>
  <c r="C141" i="16"/>
  <c r="C150" i="16"/>
  <c r="C144" i="16"/>
  <c r="C132" i="16"/>
  <c r="C124" i="16"/>
  <c r="C121" i="16"/>
  <c r="C112" i="16"/>
  <c r="C103" i="16"/>
  <c r="C115" i="16"/>
  <c r="C106" i="16"/>
  <c r="C96" i="16"/>
  <c r="C23" i="23"/>
  <c r="C14" i="23"/>
  <c r="C5" i="23"/>
  <c r="D5" i="23" s="1"/>
  <c r="C27" i="23"/>
  <c r="D27" i="23" s="1"/>
  <c r="C26" i="23"/>
  <c r="D26" i="23" s="1"/>
  <c r="C25" i="23"/>
  <c r="D25" i="23" s="1"/>
  <c r="C24" i="23"/>
  <c r="D24" i="23" s="1"/>
  <c r="C18" i="23"/>
  <c r="D18" i="23" s="1"/>
  <c r="C17" i="23"/>
  <c r="D17" i="23" s="1"/>
  <c r="C16" i="23"/>
  <c r="D16" i="23" s="1"/>
  <c r="C15" i="23"/>
  <c r="D15" i="23" s="1"/>
  <c r="C9" i="23"/>
  <c r="D9" i="23" s="1"/>
  <c r="C8" i="23"/>
  <c r="D8" i="23" s="1"/>
  <c r="C7" i="23"/>
  <c r="D7" i="23" s="1"/>
  <c r="C6" i="23"/>
  <c r="D6" i="23" s="1"/>
  <c r="O18" i="1"/>
  <c r="O17" i="1"/>
  <c r="M18" i="1"/>
  <c r="M17" i="1"/>
  <c r="K18" i="1"/>
  <c r="K17" i="1"/>
  <c r="I18" i="1"/>
  <c r="I17" i="1"/>
  <c r="G18" i="1"/>
  <c r="G17" i="1"/>
  <c r="E17" i="1"/>
  <c r="E18" i="1"/>
  <c r="M29" i="1"/>
  <c r="K29" i="1"/>
  <c r="I29" i="1"/>
  <c r="G29" i="1"/>
  <c r="E29" i="1"/>
  <c r="O25" i="1"/>
  <c r="M25" i="1"/>
  <c r="K25" i="1"/>
  <c r="I25" i="1"/>
  <c r="G25" i="1"/>
  <c r="E25" i="1"/>
  <c r="D22" i="1"/>
  <c r="M23" i="1"/>
  <c r="M21" i="1"/>
  <c r="K21" i="1"/>
  <c r="I21" i="1"/>
  <c r="I20" i="1"/>
  <c r="G21" i="1"/>
  <c r="G20" i="1"/>
  <c r="E20" i="1"/>
  <c r="E21" i="1"/>
  <c r="E23" i="1"/>
  <c r="M13" i="1"/>
  <c r="M11" i="1"/>
  <c r="M10" i="1"/>
  <c r="K13" i="1"/>
  <c r="K11" i="1"/>
  <c r="K10" i="1"/>
  <c r="I13" i="1"/>
  <c r="I11" i="1"/>
  <c r="I10" i="1"/>
  <c r="G13" i="1"/>
  <c r="G11" i="1"/>
  <c r="G10" i="1"/>
  <c r="E10" i="1"/>
  <c r="E11" i="1"/>
  <c r="E13" i="1"/>
  <c r="E9" i="1"/>
  <c r="D12" i="1"/>
  <c r="P82" i="1"/>
  <c r="N82" i="1"/>
  <c r="L82" i="1"/>
  <c r="J82" i="1"/>
  <c r="H82" i="1"/>
  <c r="F82" i="1"/>
  <c r="P81" i="1"/>
  <c r="P80" i="1"/>
  <c r="N81" i="1"/>
  <c r="N80" i="1"/>
  <c r="L81" i="1"/>
  <c r="L80" i="1"/>
  <c r="J81" i="1"/>
  <c r="J80" i="1"/>
  <c r="H81" i="1"/>
  <c r="H80" i="1"/>
  <c r="F81" i="1"/>
  <c r="P73" i="2"/>
  <c r="N73" i="2"/>
  <c r="L73" i="2"/>
  <c r="J73" i="2"/>
  <c r="H73" i="2"/>
  <c r="F73" i="2"/>
  <c r="P77" i="2"/>
  <c r="N77" i="2"/>
  <c r="L77" i="2"/>
  <c r="J77" i="2"/>
  <c r="H77" i="2"/>
  <c r="F77" i="2"/>
  <c r="P78" i="2"/>
  <c r="N78" i="2"/>
  <c r="L78" i="2"/>
  <c r="J78" i="2"/>
  <c r="H78" i="2"/>
  <c r="F78" i="2"/>
  <c r="D81" i="2"/>
  <c r="P74" i="2"/>
  <c r="N74" i="2"/>
  <c r="L74" i="2"/>
  <c r="J74" i="2"/>
  <c r="H74" i="2"/>
  <c r="F74" i="2"/>
  <c r="F58" i="2"/>
  <c r="H58" i="2"/>
  <c r="J58" i="2"/>
  <c r="L58" i="2"/>
  <c r="N58" i="2"/>
  <c r="P58" i="2"/>
  <c r="O91" i="2"/>
  <c r="P91" i="2" s="1"/>
  <c r="P92" i="2" s="1"/>
  <c r="O92" i="2" s="1"/>
  <c r="O87" i="2"/>
  <c r="P87" i="2" s="1"/>
  <c r="P88" i="2" s="1"/>
  <c r="O88" i="2" s="1"/>
  <c r="M87" i="2"/>
  <c r="N87" i="2" s="1"/>
  <c r="N88" i="2" s="1"/>
  <c r="M88" i="2" s="1"/>
  <c r="L87" i="2"/>
  <c r="L88" i="2" s="1"/>
  <c r="K88" i="2" s="1"/>
  <c r="D90" i="2"/>
  <c r="D91" i="2"/>
  <c r="G91" i="2"/>
  <c r="H91" i="2" s="1"/>
  <c r="H92" i="2" s="1"/>
  <c r="G92" i="2" s="1"/>
  <c r="E91" i="2"/>
  <c r="F91" i="2" s="1"/>
  <c r="F92" i="2" s="1"/>
  <c r="E92" i="2" s="1"/>
  <c r="I91" i="2"/>
  <c r="J91" i="2" s="1"/>
  <c r="J92" i="2" s="1"/>
  <c r="I92" i="2" s="1"/>
  <c r="K91" i="2"/>
  <c r="L91" i="2" s="1"/>
  <c r="L92" i="2" s="1"/>
  <c r="K92" i="2" s="1"/>
  <c r="M91" i="2"/>
  <c r="N91" i="2" s="1"/>
  <c r="N92" i="2" s="1"/>
  <c r="M92" i="2" s="1"/>
  <c r="T14" i="22"/>
  <c r="T13" i="22"/>
  <c r="T12" i="22"/>
  <c r="T11" i="22"/>
  <c r="T10" i="22"/>
  <c r="T13" i="21"/>
  <c r="T12" i="21"/>
  <c r="T11" i="21"/>
  <c r="T10" i="21"/>
  <c r="D89" i="2"/>
  <c r="C94" i="2"/>
  <c r="D94" i="2" s="1"/>
  <c r="C93" i="2"/>
  <c r="D93" i="2" s="1"/>
  <c r="C97" i="2"/>
  <c r="D97" i="2" s="1"/>
  <c r="P119" i="2"/>
  <c r="O119" i="2"/>
  <c r="N119" i="2"/>
  <c r="M119" i="2"/>
  <c r="L119" i="2"/>
  <c r="K119" i="2"/>
  <c r="J119" i="2"/>
  <c r="I119" i="2"/>
  <c r="H119" i="2"/>
  <c r="G119" i="2"/>
  <c r="F119" i="2"/>
  <c r="P118" i="2"/>
  <c r="O118" i="2"/>
  <c r="N118" i="2"/>
  <c r="M118" i="2"/>
  <c r="L118" i="2"/>
  <c r="K118" i="2"/>
  <c r="J118" i="2"/>
  <c r="I118" i="2"/>
  <c r="H118" i="2"/>
  <c r="G118" i="2"/>
  <c r="F118" i="2"/>
  <c r="P117" i="2"/>
  <c r="O117" i="2"/>
  <c r="N117" i="2"/>
  <c r="M117" i="2"/>
  <c r="L117" i="2"/>
  <c r="K117" i="2"/>
  <c r="J117" i="2"/>
  <c r="I117" i="2"/>
  <c r="H117" i="2"/>
  <c r="G117" i="2"/>
  <c r="F117" i="2"/>
  <c r="F105" i="1"/>
  <c r="F106" i="1" s="1"/>
  <c r="P105" i="1"/>
  <c r="P106" i="1" s="1"/>
  <c r="N105" i="1"/>
  <c r="N106" i="1" s="1"/>
  <c r="L105" i="1"/>
  <c r="L106" i="1" s="1"/>
  <c r="J105" i="1"/>
  <c r="J106" i="1" s="1"/>
  <c r="H105" i="1"/>
  <c r="H106" i="1" s="1"/>
  <c r="D85" i="2"/>
  <c r="D82" i="2"/>
  <c r="D86" i="2"/>
  <c r="O130" i="2"/>
  <c r="O129" i="2"/>
  <c r="O128" i="2"/>
  <c r="O127" i="2"/>
  <c r="O126" i="2"/>
  <c r="O125" i="2"/>
  <c r="O124" i="2"/>
  <c r="O123" i="2"/>
  <c r="O122" i="2"/>
  <c r="O121" i="2"/>
  <c r="O120" i="2"/>
  <c r="O116" i="2"/>
  <c r="O112" i="2"/>
  <c r="M130" i="2"/>
  <c r="M129" i="2"/>
  <c r="M128" i="2"/>
  <c r="M127" i="2"/>
  <c r="M126" i="2"/>
  <c r="M125" i="2"/>
  <c r="M124" i="2"/>
  <c r="M123" i="2"/>
  <c r="M122" i="2"/>
  <c r="M121" i="2"/>
  <c r="M120" i="2"/>
  <c r="M116" i="2"/>
  <c r="M112" i="2"/>
  <c r="K130" i="2"/>
  <c r="K129" i="2"/>
  <c r="K128" i="2"/>
  <c r="K127" i="2"/>
  <c r="K126" i="2"/>
  <c r="K125" i="2"/>
  <c r="K124" i="2"/>
  <c r="K123" i="2"/>
  <c r="K122" i="2"/>
  <c r="K121" i="2"/>
  <c r="K120" i="2"/>
  <c r="K116" i="2"/>
  <c r="K112" i="2"/>
  <c r="I130" i="2"/>
  <c r="I129" i="2"/>
  <c r="I128" i="2"/>
  <c r="I127" i="2"/>
  <c r="I126" i="2"/>
  <c r="I125" i="2"/>
  <c r="I124" i="2"/>
  <c r="I123" i="2"/>
  <c r="I122" i="2"/>
  <c r="I121" i="2"/>
  <c r="I120" i="2"/>
  <c r="I116" i="2"/>
  <c r="I112" i="2"/>
  <c r="G130" i="2"/>
  <c r="G129" i="2"/>
  <c r="G128" i="2"/>
  <c r="G127" i="2"/>
  <c r="G126" i="2"/>
  <c r="G125" i="2"/>
  <c r="G124" i="2"/>
  <c r="G123" i="2"/>
  <c r="G122" i="2"/>
  <c r="G121" i="2"/>
  <c r="G120" i="2"/>
  <c r="G116" i="2"/>
  <c r="G112" i="2"/>
  <c r="C130" i="2"/>
  <c r="C129" i="2"/>
  <c r="C128" i="2"/>
  <c r="C127" i="2"/>
  <c r="C126" i="2"/>
  <c r="C125" i="2"/>
  <c r="C124" i="2"/>
  <c r="C123" i="2"/>
  <c r="C122" i="2"/>
  <c r="C121" i="2"/>
  <c r="C120" i="2"/>
  <c r="C116" i="2"/>
  <c r="C112" i="2"/>
  <c r="E127" i="2"/>
  <c r="E128" i="2"/>
  <c r="E129" i="2"/>
  <c r="E130" i="2"/>
  <c r="E123" i="2"/>
  <c r="E126" i="2"/>
  <c r="E125" i="2"/>
  <c r="E124" i="2"/>
  <c r="E122" i="2"/>
  <c r="E121" i="2"/>
  <c r="E120" i="2"/>
  <c r="E116" i="2"/>
  <c r="E112" i="2"/>
  <c r="F113" i="2"/>
  <c r="F114" i="2"/>
  <c r="F115" i="2"/>
  <c r="H113" i="2"/>
  <c r="H114" i="2"/>
  <c r="H115" i="2"/>
  <c r="J113" i="2"/>
  <c r="J114" i="2"/>
  <c r="J115" i="2"/>
  <c r="L113" i="2"/>
  <c r="L114" i="2"/>
  <c r="L115" i="2"/>
  <c r="N113" i="2"/>
  <c r="N114" i="2"/>
  <c r="N115" i="2"/>
  <c r="P113" i="2"/>
  <c r="P114" i="2"/>
  <c r="P115" i="2"/>
  <c r="P111" i="2"/>
  <c r="N111" i="2"/>
  <c r="L111" i="2"/>
  <c r="J111" i="2"/>
  <c r="H111" i="2"/>
  <c r="F111" i="2"/>
  <c r="P110" i="2"/>
  <c r="N110" i="2"/>
  <c r="L110" i="2"/>
  <c r="J110" i="2"/>
  <c r="H110" i="2"/>
  <c r="F110" i="2"/>
  <c r="P109" i="2"/>
  <c r="N109" i="2"/>
  <c r="L109" i="2"/>
  <c r="J109" i="2"/>
  <c r="H109" i="2"/>
  <c r="F109" i="2"/>
  <c r="P98" i="1"/>
  <c r="P99" i="1" s="1"/>
  <c r="N98" i="1"/>
  <c r="N99" i="1" s="1"/>
  <c r="L98" i="1"/>
  <c r="L99" i="1" s="1"/>
  <c r="J98" i="1"/>
  <c r="J99" i="1" s="1"/>
  <c r="P91" i="1"/>
  <c r="P92" i="1" s="1"/>
  <c r="N91" i="1"/>
  <c r="N92" i="1" s="1"/>
  <c r="L91" i="1"/>
  <c r="L92" i="1" s="1"/>
  <c r="J91" i="1"/>
  <c r="J92" i="1" s="1"/>
  <c r="H98" i="1"/>
  <c r="G95" i="1" s="1"/>
  <c r="F98" i="1"/>
  <c r="E96" i="1" s="1"/>
  <c r="H91" i="1"/>
  <c r="H92" i="1" s="1"/>
  <c r="F91" i="1"/>
  <c r="F92" i="1" s="1"/>
  <c r="I87" i="2"/>
  <c r="J87" i="2" s="1"/>
  <c r="J88" i="2" s="1"/>
  <c r="I88" i="2" s="1"/>
  <c r="O84" i="2"/>
  <c r="P83" i="2" s="1"/>
  <c r="P84" i="2" s="1"/>
  <c r="M84" i="2"/>
  <c r="N83" i="2" s="1"/>
  <c r="N84" i="2" s="1"/>
  <c r="K84" i="2"/>
  <c r="L83" i="2" s="1"/>
  <c r="L84" i="2" s="1"/>
  <c r="I84" i="2"/>
  <c r="J83" i="2" s="1"/>
  <c r="J84" i="2" s="1"/>
  <c r="G84" i="2"/>
  <c r="H83" i="2" s="1"/>
  <c r="H84" i="2" s="1"/>
  <c r="E84" i="2"/>
  <c r="F83" i="2" s="1"/>
  <c r="F84" i="2" s="1"/>
  <c r="F566" i="19"/>
  <c r="G566" i="19"/>
  <c r="E566" i="19"/>
  <c r="E567" i="19" s="1"/>
  <c r="E594" i="19"/>
  <c r="E595" i="19" s="1"/>
  <c r="G594" i="19"/>
  <c r="F594" i="19"/>
  <c r="F622" i="19"/>
  <c r="G622" i="19"/>
  <c r="E622" i="19"/>
  <c r="E623" i="19" s="1"/>
  <c r="F650" i="19"/>
  <c r="F678" i="19" s="1"/>
  <c r="G650" i="19"/>
  <c r="G678" i="19" s="1"/>
  <c r="E650" i="19"/>
  <c r="F706" i="19"/>
  <c r="G706" i="19"/>
  <c r="E706" i="19"/>
  <c r="J499" i="20"/>
  <c r="G87" i="2"/>
  <c r="H87" i="2" s="1"/>
  <c r="H88" i="2" s="1"/>
  <c r="E87" i="2"/>
  <c r="J99" i="20" a="1"/>
  <c r="J99" i="20" s="1"/>
  <c r="J97" i="20" a="1"/>
  <c r="J97" i="20" s="1"/>
  <c r="I93" i="20" a="1"/>
  <c r="I93" i="20" s="1"/>
  <c r="J94" i="20" a="1"/>
  <c r="J94" i="20" s="1"/>
  <c r="J95" i="20" a="1"/>
  <c r="J95" i="20" s="1"/>
  <c r="J96" i="20" a="1"/>
  <c r="J96" i="20" s="1"/>
  <c r="J98" i="20" a="1"/>
  <c r="J98" i="20" s="1"/>
  <c r="J93" i="20" a="1"/>
  <c r="J93" i="20" s="1"/>
  <c r="I99" i="20" a="1"/>
  <c r="I99" i="20" s="1"/>
  <c r="I98" i="20" a="1"/>
  <c r="I98" i="20" s="1"/>
  <c r="I97" i="20" a="1"/>
  <c r="I97" i="20" s="1"/>
  <c r="I96" i="20" a="1"/>
  <c r="I96" i="20" s="1"/>
  <c r="I95" i="20" a="1"/>
  <c r="I95" i="20" s="1"/>
  <c r="I94" i="20" a="1"/>
  <c r="I94" i="20" s="1"/>
  <c r="J173" i="20" a="1"/>
  <c r="J173" i="20" s="1"/>
  <c r="I168" i="20" a="1"/>
  <c r="I168" i="20" s="1"/>
  <c r="J168" i="20" a="1"/>
  <c r="J168" i="20" s="1"/>
  <c r="I169" i="20" a="1"/>
  <c r="I169" i="20" s="1"/>
  <c r="J169" i="20" a="1"/>
  <c r="J169" i="20" s="1"/>
  <c r="I170" i="20" a="1"/>
  <c r="I170" i="20" s="1"/>
  <c r="J170" i="20" a="1"/>
  <c r="J170" i="20" s="1"/>
  <c r="I171" i="20" a="1"/>
  <c r="I171" i="20" s="1"/>
  <c r="J171" i="20" a="1"/>
  <c r="J171" i="20" s="1"/>
  <c r="I172" i="20" a="1"/>
  <c r="I172" i="20" s="1"/>
  <c r="J172" i="20" a="1"/>
  <c r="J172" i="20" s="1"/>
  <c r="I173" i="20" a="1"/>
  <c r="I173" i="20" s="1"/>
  <c r="J167" i="20" a="1"/>
  <c r="J167" i="20" s="1"/>
  <c r="I167" i="20" a="1"/>
  <c r="I167" i="20" s="1"/>
  <c r="J259" i="20" a="1"/>
  <c r="J259" i="20" s="1"/>
  <c r="J254" i="20" a="1"/>
  <c r="J254" i="20" s="1"/>
  <c r="J255" i="20" a="1"/>
  <c r="J255" i="20" s="1"/>
  <c r="J256" i="20" a="1"/>
  <c r="J256" i="20" s="1"/>
  <c r="J257" i="20" a="1"/>
  <c r="J257" i="20" s="1"/>
  <c r="J258" i="20" a="1"/>
  <c r="J258" i="20" s="1"/>
  <c r="J253" i="20" a="1"/>
  <c r="J253" i="20" s="1"/>
  <c r="J260" i="20" s="1"/>
  <c r="I254" i="20" a="1"/>
  <c r="I254" i="20" s="1"/>
  <c r="I255" i="20" a="1"/>
  <c r="I255" i="20" s="1"/>
  <c r="I256" i="20" a="1"/>
  <c r="I256" i="20" s="1"/>
  <c r="I257" i="20" a="1"/>
  <c r="I257" i="20" s="1"/>
  <c r="I258" i="20" a="1"/>
  <c r="I258" i="20" s="1"/>
  <c r="I259" i="20" a="1"/>
  <c r="I259" i="20" s="1"/>
  <c r="I253" i="20" a="1"/>
  <c r="I253" i="20" s="1"/>
  <c r="I260" i="20" s="1"/>
  <c r="I343" i="20" a="1"/>
  <c r="I343" i="20" s="1"/>
  <c r="J343" i="20" a="1"/>
  <c r="J343" i="20" s="1"/>
  <c r="J429" i="20" a="1"/>
  <c r="J429" i="20" s="1"/>
  <c r="I429" i="20" a="1"/>
  <c r="I429" i="20" s="1"/>
  <c r="J339" i="20" a="1"/>
  <c r="J339" i="20" s="1"/>
  <c r="J340" i="20" a="1"/>
  <c r="J340" i="20" s="1"/>
  <c r="J341" i="20" a="1"/>
  <c r="J341" i="20" s="1"/>
  <c r="J342" i="20" a="1"/>
  <c r="J342" i="20" s="1"/>
  <c r="J344" i="20" a="1"/>
  <c r="J344" i="20" s="1"/>
  <c r="J338" i="20" a="1"/>
  <c r="J338" i="20" s="1"/>
  <c r="J424" i="20" a="1"/>
  <c r="J424" i="20" s="1"/>
  <c r="J425" i="20" a="1"/>
  <c r="J425" i="20" s="1"/>
  <c r="J426" i="20" a="1"/>
  <c r="J426" i="20" s="1"/>
  <c r="J427" i="20" a="1"/>
  <c r="J427" i="20" s="1"/>
  <c r="J428" i="20" a="1"/>
  <c r="J428" i="20" s="1"/>
  <c r="J430" i="20" a="1"/>
  <c r="J430" i="20" s="1"/>
  <c r="I425" i="20" a="1"/>
  <c r="I425" i="20" s="1"/>
  <c r="I426" i="20" a="1"/>
  <c r="I426" i="20" s="1"/>
  <c r="I427" i="20" a="1"/>
  <c r="I427" i="20" s="1"/>
  <c r="I428" i="20" a="1"/>
  <c r="I428" i="20" s="1"/>
  <c r="I430" i="20" a="1"/>
  <c r="I430" i="20" s="1"/>
  <c r="I424" i="20" a="1"/>
  <c r="I424" i="20" s="1"/>
  <c r="J494" i="20" a="1"/>
  <c r="J494" i="20" s="1"/>
  <c r="J495" i="20" a="1"/>
  <c r="J495" i="20" s="1"/>
  <c r="J496" i="20" a="1"/>
  <c r="J496" i="20" s="1"/>
  <c r="J497" i="20" a="1"/>
  <c r="J497" i="20" s="1"/>
  <c r="J498" i="20" a="1"/>
  <c r="J498" i="20" s="1"/>
  <c r="J493" i="20" a="1"/>
  <c r="J493" i="20" s="1"/>
  <c r="I339" i="20" a="1"/>
  <c r="I339" i="20" s="1"/>
  <c r="I340" i="20" a="1"/>
  <c r="I340" i="20" s="1"/>
  <c r="I341" i="20" a="1"/>
  <c r="I341" i="20" s="1"/>
  <c r="I342" i="20" a="1"/>
  <c r="I342" i="20" s="1"/>
  <c r="I344" i="20" a="1"/>
  <c r="I344" i="20" s="1"/>
  <c r="I338" i="20" a="1"/>
  <c r="I338" i="20" s="1"/>
  <c r="I345" i="20" s="1"/>
  <c r="F459" i="20"/>
  <c r="I494" i="20" s="1" a="1"/>
  <c r="I494" i="20" s="1"/>
  <c r="F466" i="20"/>
  <c r="F470" i="20"/>
  <c r="F474" i="20"/>
  <c r="F478" i="20"/>
  <c r="F483" i="20"/>
  <c r="F488" i="20"/>
  <c r="F493" i="20"/>
  <c r="F504" i="20"/>
  <c r="F510" i="20"/>
  <c r="F516" i="20"/>
  <c r="F522" i="20"/>
  <c r="F528" i="20"/>
  <c r="F535" i="20"/>
  <c r="F541" i="20"/>
  <c r="F547" i="20"/>
  <c r="F553" i="20"/>
  <c r="B631" i="19"/>
  <c r="B604" i="19"/>
  <c r="B605" i="19" s="1"/>
  <c r="B606" i="19" s="1"/>
  <c r="B607" i="19" s="1"/>
  <c r="B608" i="19" s="1"/>
  <c r="B609" i="19" s="1"/>
  <c r="B610" i="19" s="1"/>
  <c r="B611" i="19" s="1"/>
  <c r="B538" i="19"/>
  <c r="B539" i="19" s="1"/>
  <c r="B540" i="19" s="1"/>
  <c r="B541" i="19" s="1"/>
  <c r="B542" i="19" s="1"/>
  <c r="B543" i="19" s="1"/>
  <c r="B544" i="19" s="1"/>
  <c r="B545" i="19" s="1"/>
  <c r="B546" i="19" s="1"/>
  <c r="B547" i="19" s="1"/>
  <c r="B548" i="19" s="1"/>
  <c r="B549" i="19" s="1"/>
  <c r="B550" i="19" s="1"/>
  <c r="B551" i="19" s="1"/>
  <c r="B552" i="19" s="1"/>
  <c r="B553" i="19" s="1"/>
  <c r="B554" i="19" s="1"/>
  <c r="B555" i="19" s="1"/>
  <c r="B556" i="19" s="1"/>
  <c r="B557" i="19" s="1"/>
  <c r="B558" i="19" s="1"/>
  <c r="B559" i="19" s="1"/>
  <c r="B560" i="19" s="1"/>
  <c r="B561" i="19" s="1"/>
  <c r="B562" i="19" s="1"/>
  <c r="B563" i="19" s="1"/>
  <c r="B564" i="19" s="1"/>
  <c r="B565" i="19" s="1"/>
  <c r="B568" i="19" s="1"/>
  <c r="B569" i="19" s="1"/>
  <c r="B570" i="19" s="1"/>
  <c r="B571" i="19" s="1"/>
  <c r="B572" i="19" s="1"/>
  <c r="B573" i="19" s="1"/>
  <c r="B574" i="19" s="1"/>
  <c r="B575" i="19" s="1"/>
  <c r="B576" i="19" s="1"/>
  <c r="B577" i="19" s="1"/>
  <c r="B578" i="19" s="1"/>
  <c r="B579" i="19" s="1"/>
  <c r="B580" i="19" s="1"/>
  <c r="B581" i="19" s="1"/>
  <c r="B582" i="19" s="1"/>
  <c r="B583" i="19" s="1"/>
  <c r="B584" i="19" s="1"/>
  <c r="B585" i="19" s="1"/>
  <c r="B586" i="19" s="1"/>
  <c r="B587" i="19" s="1"/>
  <c r="B588" i="19" s="1"/>
  <c r="B589" i="19" s="1"/>
  <c r="B590" i="19" s="1"/>
  <c r="B591" i="19" s="1"/>
  <c r="B592" i="19" s="1"/>
  <c r="B593" i="19" s="1"/>
  <c r="B596" i="19" s="1"/>
  <c r="B597" i="19" s="1"/>
  <c r="B515" i="19"/>
  <c r="B516" i="19" s="1"/>
  <c r="B517" i="19" s="1"/>
  <c r="B518" i="19" s="1"/>
  <c r="B519" i="19" s="1"/>
  <c r="B520" i="19" s="1"/>
  <c r="B521" i="19" s="1"/>
  <c r="B522" i="19" s="1"/>
  <c r="B523" i="19" s="1"/>
  <c r="B524" i="19" s="1"/>
  <c r="B525" i="19" s="1"/>
  <c r="B526" i="19" s="1"/>
  <c r="B527" i="19" s="1"/>
  <c r="B528" i="19" s="1"/>
  <c r="B529" i="19" s="1"/>
  <c r="B530" i="19" s="1"/>
  <c r="B531" i="19" s="1"/>
  <c r="B532" i="19" s="1"/>
  <c r="B533" i="19" s="1"/>
  <c r="B534" i="19" s="1"/>
  <c r="B535" i="19" s="1"/>
  <c r="D83" i="2" l="1"/>
  <c r="D84" i="2" s="1"/>
  <c r="C122" i="1"/>
  <c r="C120" i="1"/>
  <c r="C110" i="1"/>
  <c r="C108" i="1"/>
  <c r="C109" i="1"/>
  <c r="O63" i="1"/>
  <c r="I63" i="1"/>
  <c r="M63" i="1"/>
  <c r="K63" i="1"/>
  <c r="C11" i="1"/>
  <c r="D11" i="1" s="1"/>
  <c r="K60" i="3" s="1"/>
  <c r="C61" i="1"/>
  <c r="C17" i="1"/>
  <c r="C62" i="1"/>
  <c r="C20" i="1"/>
  <c r="D20" i="1" s="1"/>
  <c r="C10" i="1"/>
  <c r="D10" i="1" s="1"/>
  <c r="C18" i="1"/>
  <c r="C21" i="1"/>
  <c r="D21" i="1" s="1"/>
  <c r="C25" i="1"/>
  <c r="D80" i="1"/>
  <c r="D81" i="1"/>
  <c r="C13" i="1"/>
  <c r="D13" i="1" s="1"/>
  <c r="K38" i="3" s="1"/>
  <c r="L67" i="1"/>
  <c r="L69" i="1" s="1"/>
  <c r="N67" i="1"/>
  <c r="N69" i="1" s="1"/>
  <c r="L79" i="2"/>
  <c r="P79" i="2"/>
  <c r="C12" i="2" a="1"/>
  <c r="C12" i="2" s="1"/>
  <c r="D12" i="2" s="1"/>
  <c r="N79" i="2"/>
  <c r="C8" i="2" a="1"/>
  <c r="C8" i="2" s="1"/>
  <c r="D8" i="2" s="1"/>
  <c r="C10" i="2" a="1"/>
  <c r="C10" i="2" s="1"/>
  <c r="D10" i="2" s="1"/>
  <c r="K5" i="3" s="1"/>
  <c r="C9" i="2" a="1"/>
  <c r="C9" i="2" s="1"/>
  <c r="D9" i="2" s="1"/>
  <c r="C19" i="2" a="1"/>
  <c r="C19" i="2" s="1"/>
  <c r="D19" i="2" s="1"/>
  <c r="L75" i="2"/>
  <c r="C20" i="2" a="1"/>
  <c r="C20" i="2" s="1"/>
  <c r="D20" i="2" s="1"/>
  <c r="K29" i="3" s="1"/>
  <c r="K30" i="3" s="1"/>
  <c r="N75" i="2"/>
  <c r="F79" i="2"/>
  <c r="H79" i="2"/>
  <c r="J79" i="2"/>
  <c r="H75" i="2"/>
  <c r="J67" i="1"/>
  <c r="I65" i="1" s="1"/>
  <c r="E104" i="1"/>
  <c r="E119" i="2" s="1"/>
  <c r="P67" i="1"/>
  <c r="O65" i="1" s="1"/>
  <c r="C29" i="23"/>
  <c r="C20" i="23"/>
  <c r="C54" i="23"/>
  <c r="C45" i="23"/>
  <c r="D48" i="23"/>
  <c r="D39" i="23"/>
  <c r="C11" i="23"/>
  <c r="D11" i="23" s="1"/>
  <c r="C36" i="23"/>
  <c r="D32" i="23"/>
  <c r="D23" i="23"/>
  <c r="D14" i="23"/>
  <c r="C29" i="1"/>
  <c r="D29" i="1" s="1"/>
  <c r="E102" i="1"/>
  <c r="J75" i="2"/>
  <c r="E103" i="1"/>
  <c r="I95" i="1"/>
  <c r="I113" i="2" s="1"/>
  <c r="P75" i="2"/>
  <c r="F75" i="2"/>
  <c r="D92" i="2"/>
  <c r="I96" i="1"/>
  <c r="I114" i="2" s="1"/>
  <c r="K96" i="1"/>
  <c r="K114" i="2" s="1"/>
  <c r="K97" i="1"/>
  <c r="K115" i="2" s="1"/>
  <c r="F99" i="1"/>
  <c r="E89" i="1"/>
  <c r="E110" i="2" s="1"/>
  <c r="H99" i="1"/>
  <c r="G88" i="1"/>
  <c r="G109" i="2" s="1"/>
  <c r="E95" i="1"/>
  <c r="E113" i="2" s="1"/>
  <c r="G90" i="1"/>
  <c r="G111" i="2" s="1"/>
  <c r="E97" i="1"/>
  <c r="E115" i="2" s="1"/>
  <c r="G96" i="1"/>
  <c r="G114" i="2" s="1"/>
  <c r="G97" i="1"/>
  <c r="G115" i="2" s="1"/>
  <c r="E114" i="2"/>
  <c r="G113" i="2"/>
  <c r="I97" i="1"/>
  <c r="I115" i="2" s="1"/>
  <c r="I88" i="1"/>
  <c r="I109" i="2" s="1"/>
  <c r="K95" i="1"/>
  <c r="K113" i="2" s="1"/>
  <c r="I89" i="1"/>
  <c r="I110" i="2" s="1"/>
  <c r="I90" i="1"/>
  <c r="I111" i="2" s="1"/>
  <c r="K88" i="1"/>
  <c r="K109" i="2" s="1"/>
  <c r="K90" i="1"/>
  <c r="K111" i="2" s="1"/>
  <c r="K89" i="1"/>
  <c r="K110" i="2" s="1"/>
  <c r="E88" i="1"/>
  <c r="E90" i="1"/>
  <c r="G89" i="1"/>
  <c r="G110" i="2" s="1"/>
  <c r="C87" i="2"/>
  <c r="D87" i="2" s="1"/>
  <c r="D88" i="2" s="1"/>
  <c r="O90" i="1"/>
  <c r="O111" i="2" s="1"/>
  <c r="O89" i="1"/>
  <c r="O110" i="2" s="1"/>
  <c r="O88" i="1"/>
  <c r="O109" i="2" s="1"/>
  <c r="M90" i="1"/>
  <c r="M111" i="2" s="1"/>
  <c r="M88" i="1"/>
  <c r="M109" i="2" s="1"/>
  <c r="M89" i="1"/>
  <c r="M110" i="2" s="1"/>
  <c r="O95" i="1"/>
  <c r="O113" i="2" s="1"/>
  <c r="O96" i="1"/>
  <c r="O114" i="2" s="1"/>
  <c r="O97" i="1"/>
  <c r="O115" i="2" s="1"/>
  <c r="M96" i="1"/>
  <c r="M114" i="2" s="1"/>
  <c r="M95" i="1"/>
  <c r="M113" i="2" s="1"/>
  <c r="M97" i="1"/>
  <c r="M115" i="2" s="1"/>
  <c r="F87" i="2"/>
  <c r="F88" i="2" s="1"/>
  <c r="E707" i="19"/>
  <c r="E651" i="19"/>
  <c r="E678" i="19" s="1"/>
  <c r="E679" i="19" s="1"/>
  <c r="I100" i="20"/>
  <c r="J100" i="20"/>
  <c r="J174" i="20"/>
  <c r="I174" i="20"/>
  <c r="J345" i="20"/>
  <c r="J431" i="20"/>
  <c r="I493" i="20" a="1"/>
  <c r="I493" i="20" s="1"/>
  <c r="I498" i="20" a="1"/>
  <c r="I498" i="20" s="1"/>
  <c r="I497" i="20" a="1"/>
  <c r="I497" i="20" s="1"/>
  <c r="I496" i="20" a="1"/>
  <c r="I496" i="20" s="1"/>
  <c r="I495" i="20" a="1"/>
  <c r="I495" i="20" s="1"/>
  <c r="I431" i="20"/>
  <c r="P104" i="2"/>
  <c r="P103" i="2"/>
  <c r="N104" i="2"/>
  <c r="N103" i="2"/>
  <c r="L104" i="2"/>
  <c r="L103" i="2"/>
  <c r="H104" i="2"/>
  <c r="H103" i="2"/>
  <c r="J104" i="2"/>
  <c r="J103" i="2"/>
  <c r="F104" i="2"/>
  <c r="F103" i="2"/>
  <c r="K67" i="3" l="1"/>
  <c r="C104" i="17"/>
  <c r="C92" i="17" s="1"/>
  <c r="K69" i="3" s="1"/>
  <c r="K4" i="3"/>
  <c r="K58" i="3"/>
  <c r="P69" i="1"/>
  <c r="O66" i="1"/>
  <c r="M66" i="1"/>
  <c r="M65" i="1"/>
  <c r="K66" i="1"/>
  <c r="K65" i="1"/>
  <c r="D22" i="2"/>
  <c r="C104" i="1"/>
  <c r="C119" i="2" s="1"/>
  <c r="J69" i="1"/>
  <c r="I66" i="1"/>
  <c r="D54" i="23"/>
  <c r="D45" i="23"/>
  <c r="D36" i="23"/>
  <c r="D29" i="23"/>
  <c r="D20" i="23"/>
  <c r="C103" i="1"/>
  <c r="E118" i="2"/>
  <c r="C102" i="1"/>
  <c r="E117" i="2"/>
  <c r="E88" i="2"/>
  <c r="D95" i="2"/>
  <c r="C89" i="1"/>
  <c r="E111" i="2"/>
  <c r="C90" i="1"/>
  <c r="C95" i="1"/>
  <c r="C88" i="1"/>
  <c r="E109" i="2"/>
  <c r="C96" i="1"/>
  <c r="C97" i="1"/>
  <c r="I499" i="20"/>
  <c r="J105" i="2"/>
  <c r="H105" i="2"/>
  <c r="N105" i="2"/>
  <c r="F105" i="2"/>
  <c r="P105" i="2"/>
  <c r="L105" i="2"/>
  <c r="C52" i="1"/>
  <c r="D30" i="1"/>
  <c r="D28" i="1"/>
  <c r="I43" i="17"/>
  <c r="I36" i="17" s="1"/>
  <c r="J36" i="17" s="1"/>
  <c r="V50" i="17"/>
  <c r="V49" i="17"/>
  <c r="S50" i="17"/>
  <c r="S49" i="17"/>
  <c r="P50" i="17"/>
  <c r="P49" i="17"/>
  <c r="M50" i="17"/>
  <c r="M49" i="17"/>
  <c r="J50" i="17"/>
  <c r="J49" i="17"/>
  <c r="G50" i="17"/>
  <c r="G49" i="17"/>
  <c r="S26" i="17"/>
  <c r="S25" i="17"/>
  <c r="S23" i="17"/>
  <c r="S22" i="17"/>
  <c r="S21" i="17"/>
  <c r="S10" i="17"/>
  <c r="S9" i="17"/>
  <c r="S7" i="17"/>
  <c r="S6" i="17"/>
  <c r="S5" i="17"/>
  <c r="S4" i="17"/>
  <c r="P26" i="17"/>
  <c r="P25" i="17"/>
  <c r="P23" i="17"/>
  <c r="P22" i="17"/>
  <c r="P21" i="17"/>
  <c r="P10" i="17"/>
  <c r="P9" i="17"/>
  <c r="P7" i="17"/>
  <c r="P6" i="17"/>
  <c r="P5" i="17"/>
  <c r="P4" i="17"/>
  <c r="M26" i="17"/>
  <c r="M25" i="17"/>
  <c r="M23" i="17"/>
  <c r="M22" i="17"/>
  <c r="M21" i="17"/>
  <c r="M10" i="17"/>
  <c r="M9" i="17"/>
  <c r="M7" i="17"/>
  <c r="M6" i="17"/>
  <c r="M5" i="17"/>
  <c r="M4" i="17"/>
  <c r="J26" i="17"/>
  <c r="J25" i="17"/>
  <c r="J23" i="17"/>
  <c r="J22" i="17"/>
  <c r="J21" i="17"/>
  <c r="J20" i="17"/>
  <c r="J10" i="17"/>
  <c r="J9" i="17"/>
  <c r="J7" i="17"/>
  <c r="J6" i="17"/>
  <c r="J5" i="17"/>
  <c r="J4" i="17"/>
  <c r="G26" i="17"/>
  <c r="G25" i="17"/>
  <c r="G23" i="17"/>
  <c r="G22" i="17"/>
  <c r="G21" i="17"/>
  <c r="G20" i="17"/>
  <c r="G10" i="17"/>
  <c r="G9" i="17"/>
  <c r="G7" i="17"/>
  <c r="G6" i="17"/>
  <c r="G5" i="17"/>
  <c r="G4" i="17"/>
  <c r="F17" i="17"/>
  <c r="L24" i="17"/>
  <c r="M48" i="17" s="1"/>
  <c r="I24" i="17"/>
  <c r="J48" i="17" s="1"/>
  <c r="F24" i="17"/>
  <c r="G48" i="17" s="1"/>
  <c r="U8" i="17"/>
  <c r="R8" i="17"/>
  <c r="O8" i="17"/>
  <c r="L8" i="17"/>
  <c r="I8" i="17"/>
  <c r="F8" i="17"/>
  <c r="F15" i="17"/>
  <c r="F14" i="17"/>
  <c r="F13" i="17"/>
  <c r="F12" i="17"/>
  <c r="U20" i="17"/>
  <c r="U24" i="17" s="1"/>
  <c r="V48" i="17" s="1"/>
  <c r="R20" i="17"/>
  <c r="R24" i="17" s="1"/>
  <c r="O20" i="17"/>
  <c r="O24" i="17" s="1"/>
  <c r="P46" i="17" s="1"/>
  <c r="U36" i="17"/>
  <c r="V36" i="17" s="1"/>
  <c r="R36" i="17"/>
  <c r="S36" i="17" s="1"/>
  <c r="O36" i="17"/>
  <c r="P36" i="17" s="1"/>
  <c r="L36" i="17"/>
  <c r="M36" i="17" s="1"/>
  <c r="F36" i="17"/>
  <c r="G36" i="17" s="1"/>
  <c r="U58" i="17"/>
  <c r="R58" i="17"/>
  <c r="O58" i="17"/>
  <c r="U18" i="17"/>
  <c r="V43" i="17" s="1"/>
  <c r="U17" i="17"/>
  <c r="U15" i="17"/>
  <c r="U13" i="17"/>
  <c r="U14" i="17"/>
  <c r="R18" i="17"/>
  <c r="R17" i="17"/>
  <c r="R15" i="17"/>
  <c r="R13" i="17"/>
  <c r="R14" i="17"/>
  <c r="O18" i="17"/>
  <c r="P43" i="17" s="1"/>
  <c r="O17" i="17"/>
  <c r="O15" i="17"/>
  <c r="O13" i="17"/>
  <c r="O14" i="17"/>
  <c r="L18" i="17"/>
  <c r="M43" i="17" s="1"/>
  <c r="L17" i="17"/>
  <c r="L15" i="17"/>
  <c r="L12" i="17"/>
  <c r="L13" i="17"/>
  <c r="L14" i="17"/>
  <c r="I18" i="17"/>
  <c r="I17" i="17"/>
  <c r="I15" i="17"/>
  <c r="I12" i="17"/>
  <c r="I13" i="17"/>
  <c r="I14" i="17"/>
  <c r="U70" i="17"/>
  <c r="U12" i="17" s="1"/>
  <c r="R70" i="17"/>
  <c r="R12" i="17" s="1"/>
  <c r="O70" i="17"/>
  <c r="O12" i="17" s="1"/>
  <c r="F18" i="17"/>
  <c r="S12" i="17" l="1"/>
  <c r="S8" i="17"/>
  <c r="G14" i="17"/>
  <c r="M14" i="17"/>
  <c r="J13" i="17"/>
  <c r="P15" i="17"/>
  <c r="M8" i="17"/>
  <c r="D10" i="17"/>
  <c r="C10" i="17" s="1"/>
  <c r="G15" i="17"/>
  <c r="J43" i="17"/>
  <c r="J38" i="17" s="1"/>
  <c r="I38" i="17" s="1"/>
  <c r="I31" i="17" s="1"/>
  <c r="J31" i="17" s="1"/>
  <c r="D6" i="17"/>
  <c r="C6" i="17" s="1"/>
  <c r="J8" i="17"/>
  <c r="P17" i="17"/>
  <c r="G13" i="17"/>
  <c r="D49" i="17"/>
  <c r="C49" i="17" s="1"/>
  <c r="M17" i="17"/>
  <c r="J18" i="17"/>
  <c r="D9" i="17"/>
  <c r="C9" i="17" s="1"/>
  <c r="D21" i="17"/>
  <c r="C21" i="17" s="1"/>
  <c r="J14" i="17"/>
  <c r="S24" i="17"/>
  <c r="D104" i="1"/>
  <c r="D119" i="2" s="1"/>
  <c r="F16" i="17"/>
  <c r="D22" i="17"/>
  <c r="C22" i="17" s="1"/>
  <c r="D4" i="17"/>
  <c r="C4" i="17" s="1"/>
  <c r="L16" i="17"/>
  <c r="P13" i="17"/>
  <c r="D26" i="17"/>
  <c r="C26" i="17" s="1"/>
  <c r="M13" i="17"/>
  <c r="D25" i="17"/>
  <c r="C25" i="17" s="1"/>
  <c r="D23" i="17"/>
  <c r="C23" i="17" s="1"/>
  <c r="P45" i="17"/>
  <c r="S14" i="17"/>
  <c r="G18" i="17"/>
  <c r="S17" i="17"/>
  <c r="D7" i="17"/>
  <c r="C7" i="17" s="1"/>
  <c r="D5" i="17"/>
  <c r="C5" i="17" s="1"/>
  <c r="P47" i="17"/>
  <c r="I16" i="17"/>
  <c r="J17" i="17"/>
  <c r="O16" i="17"/>
  <c r="M15" i="17"/>
  <c r="P18" i="17"/>
  <c r="D50" i="17"/>
  <c r="C50" i="17" s="1"/>
  <c r="D19" i="1" s="1"/>
  <c r="U16" i="17"/>
  <c r="P8" i="17"/>
  <c r="P14" i="17"/>
  <c r="S15" i="17"/>
  <c r="G43" i="17"/>
  <c r="M42" i="17"/>
  <c r="L42" i="17" s="1"/>
  <c r="L35" i="17" s="1"/>
  <c r="M35" i="17" s="1"/>
  <c r="M41" i="17"/>
  <c r="M40" i="17"/>
  <c r="L40" i="17" s="1"/>
  <c r="L33" i="17" s="1"/>
  <c r="M33" i="17" s="1"/>
  <c r="M39" i="17"/>
  <c r="L39" i="17" s="1"/>
  <c r="L32" i="17" s="1"/>
  <c r="M32" i="17" s="1"/>
  <c r="M38" i="17"/>
  <c r="L38" i="17" s="1"/>
  <c r="L31" i="17" s="1"/>
  <c r="M31" i="17" s="1"/>
  <c r="D36" i="17"/>
  <c r="C36" i="17" s="1"/>
  <c r="V39" i="17"/>
  <c r="U39" i="17" s="1"/>
  <c r="U32" i="17" s="1"/>
  <c r="V32" i="17" s="1"/>
  <c r="V38" i="17"/>
  <c r="U38" i="17" s="1"/>
  <c r="U31" i="17" s="1"/>
  <c r="V31" i="17" s="1"/>
  <c r="V42" i="17"/>
  <c r="U42" i="17" s="1"/>
  <c r="U35" i="17" s="1"/>
  <c r="V35" i="17" s="1"/>
  <c r="V41" i="17"/>
  <c r="V40" i="17"/>
  <c r="U40" i="17" s="1"/>
  <c r="U33" i="17" s="1"/>
  <c r="V33" i="17" s="1"/>
  <c r="P38" i="17"/>
  <c r="O38" i="17" s="1"/>
  <c r="O31" i="17" s="1"/>
  <c r="P31" i="17" s="1"/>
  <c r="P42" i="17"/>
  <c r="O42" i="17" s="1"/>
  <c r="O35" i="17" s="1"/>
  <c r="P35" i="17" s="1"/>
  <c r="P41" i="17"/>
  <c r="P40" i="17"/>
  <c r="O40" i="17" s="1"/>
  <c r="O33" i="17" s="1"/>
  <c r="P33" i="17" s="1"/>
  <c r="P39" i="17"/>
  <c r="O39" i="17" s="1"/>
  <c r="O32" i="17" s="1"/>
  <c r="P32" i="17" s="1"/>
  <c r="J41" i="17"/>
  <c r="J40" i="17"/>
  <c r="I40" i="17" s="1"/>
  <c r="I33" i="17" s="1"/>
  <c r="J33" i="17" s="1"/>
  <c r="J39" i="17"/>
  <c r="I39" i="17" s="1"/>
  <c r="J42" i="17"/>
  <c r="I42" i="17" s="1"/>
  <c r="I35" i="17" s="1"/>
  <c r="J35" i="17" s="1"/>
  <c r="J12" i="17"/>
  <c r="G17" i="17"/>
  <c r="J15" i="17"/>
  <c r="M18" i="17"/>
  <c r="M20" i="17"/>
  <c r="S13" i="17"/>
  <c r="D13" i="17" s="1"/>
  <c r="C13" i="17" s="1"/>
  <c r="P48" i="17"/>
  <c r="R16" i="17"/>
  <c r="P24" i="17"/>
  <c r="G45" i="17"/>
  <c r="M45" i="17"/>
  <c r="V45" i="17"/>
  <c r="G47" i="17"/>
  <c r="M46" i="17"/>
  <c r="V46" i="17"/>
  <c r="G8" i="17"/>
  <c r="G46" i="17"/>
  <c r="M47" i="17"/>
  <c r="V47" i="17"/>
  <c r="M24" i="17"/>
  <c r="S43" i="17"/>
  <c r="P12" i="17"/>
  <c r="G24" i="17"/>
  <c r="M12" i="17"/>
  <c r="S18" i="17"/>
  <c r="J45" i="17"/>
  <c r="S45" i="17"/>
  <c r="G12" i="17"/>
  <c r="S20" i="17"/>
  <c r="J46" i="17"/>
  <c r="S46" i="17"/>
  <c r="J24" i="17"/>
  <c r="J47" i="17"/>
  <c r="S47" i="17"/>
  <c r="S48" i="17"/>
  <c r="P20" i="17"/>
  <c r="C117" i="2"/>
  <c r="D102" i="1"/>
  <c r="D117" i="2" s="1"/>
  <c r="C118" i="2"/>
  <c r="D103" i="1"/>
  <c r="D118" i="2" s="1"/>
  <c r="C110" i="2"/>
  <c r="D89" i="1"/>
  <c r="D97" i="1"/>
  <c r="D115" i="2" s="1"/>
  <c r="C115" i="2"/>
  <c r="D96" i="1"/>
  <c r="D114" i="2" s="1"/>
  <c r="C114" i="2"/>
  <c r="C109" i="2"/>
  <c r="D88" i="1"/>
  <c r="D95" i="1"/>
  <c r="D113" i="2" s="1"/>
  <c r="C113" i="2"/>
  <c r="C111" i="2"/>
  <c r="D90" i="1"/>
  <c r="P79" i="1"/>
  <c r="P78" i="1"/>
  <c r="N79" i="1"/>
  <c r="N78" i="1"/>
  <c r="L79" i="1"/>
  <c r="L78" i="1"/>
  <c r="J79" i="1"/>
  <c r="J78" i="1"/>
  <c r="H79" i="1"/>
  <c r="H78" i="1"/>
  <c r="F79" i="1"/>
  <c r="F78" i="1"/>
  <c r="N44" i="1"/>
  <c r="N52" i="1" s="1"/>
  <c r="N145" i="1" s="1"/>
  <c r="P44" i="1"/>
  <c r="L44" i="1"/>
  <c r="L52" i="1" s="1"/>
  <c r="L145" i="1" s="1"/>
  <c r="J44" i="1"/>
  <c r="J52" i="1" s="1"/>
  <c r="J145" i="1" s="1"/>
  <c r="H44" i="1"/>
  <c r="F44" i="1"/>
  <c r="M16" i="17" l="1"/>
  <c r="D7" i="1"/>
  <c r="D52" i="1" s="1"/>
  <c r="D44" i="1" s="1"/>
  <c r="D6" i="1"/>
  <c r="D8" i="17"/>
  <c r="C8" i="17" s="1"/>
  <c r="L41" i="17"/>
  <c r="L34" i="17" s="1"/>
  <c r="M34" i="17" s="1"/>
  <c r="J16" i="17"/>
  <c r="D14" i="17"/>
  <c r="C14" i="17" s="1"/>
  <c r="G16" i="17"/>
  <c r="D20" i="17"/>
  <c r="C20" i="17" s="1"/>
  <c r="S16" i="17"/>
  <c r="D48" i="17"/>
  <c r="C48" i="17" s="1"/>
  <c r="I41" i="17"/>
  <c r="I34" i="17" s="1"/>
  <c r="J34" i="17" s="1"/>
  <c r="D5" i="1"/>
  <c r="D77" i="2" s="1"/>
  <c r="D78" i="2" s="1"/>
  <c r="D44" i="2" s="1"/>
  <c r="K44" i="3"/>
  <c r="D18" i="17"/>
  <c r="C18" i="17" s="1"/>
  <c r="U41" i="17"/>
  <c r="U34" i="17" s="1"/>
  <c r="V34" i="17" s="1"/>
  <c r="D110" i="2"/>
  <c r="D111" i="2"/>
  <c r="D109" i="2"/>
  <c r="P83" i="1"/>
  <c r="J83" i="1"/>
  <c r="F83" i="1"/>
  <c r="H83" i="1"/>
  <c r="L83" i="1"/>
  <c r="N83" i="1"/>
  <c r="G41" i="17"/>
  <c r="F41" i="17" s="1"/>
  <c r="F34" i="17" s="1"/>
  <c r="G34" i="17" s="1"/>
  <c r="G39" i="17"/>
  <c r="F39" i="17" s="1"/>
  <c r="F32" i="17" s="1"/>
  <c r="G32" i="17" s="1"/>
  <c r="G38" i="17"/>
  <c r="F38" i="17" s="1"/>
  <c r="F31" i="17" s="1"/>
  <c r="G31" i="17" s="1"/>
  <c r="G42" i="17"/>
  <c r="O41" i="17"/>
  <c r="O34" i="17" s="1"/>
  <c r="P34" i="17" s="1"/>
  <c r="D15" i="17"/>
  <c r="C15" i="17" s="1"/>
  <c r="D17" i="17"/>
  <c r="C17" i="17" s="1"/>
  <c r="G40" i="17"/>
  <c r="F33" i="17" s="1"/>
  <c r="G33" i="17" s="1"/>
  <c r="D45" i="17"/>
  <c r="C45" i="17" s="1"/>
  <c r="P16" i="17"/>
  <c r="D46" i="17"/>
  <c r="C46" i="17" s="1"/>
  <c r="C81" i="17" s="1"/>
  <c r="C83" i="17" s="1"/>
  <c r="C89" i="17" s="1"/>
  <c r="D12" i="17"/>
  <c r="C12" i="17" s="1"/>
  <c r="S42" i="17"/>
  <c r="R42" i="17" s="1"/>
  <c r="R35" i="17" s="1"/>
  <c r="S35" i="17" s="1"/>
  <c r="S41" i="17"/>
  <c r="R41" i="17" s="1"/>
  <c r="R34" i="17" s="1"/>
  <c r="S34" i="17" s="1"/>
  <c r="S40" i="17"/>
  <c r="R40" i="17" s="1"/>
  <c r="R33" i="17" s="1"/>
  <c r="S33" i="17" s="1"/>
  <c r="S39" i="17"/>
  <c r="S38" i="17"/>
  <c r="R38" i="17" s="1"/>
  <c r="R31" i="17" s="1"/>
  <c r="S31" i="17" s="1"/>
  <c r="D43" i="17"/>
  <c r="C43" i="17" s="1"/>
  <c r="D47" i="17"/>
  <c r="C47" i="17" s="1"/>
  <c r="C82" i="17" s="1"/>
  <c r="D24" i="17"/>
  <c r="C24" i="17" s="1"/>
  <c r="N54" i="1"/>
  <c r="M43" i="1"/>
  <c r="M42" i="1"/>
  <c r="M41" i="1"/>
  <c r="M40" i="1"/>
  <c r="M39" i="1"/>
  <c r="K51" i="1"/>
  <c r="K43" i="1"/>
  <c r="K42" i="1"/>
  <c r="K41" i="1"/>
  <c r="K40" i="1"/>
  <c r="K39" i="1"/>
  <c r="J54" i="1"/>
  <c r="I40" i="1"/>
  <c r="I39" i="1"/>
  <c r="I41" i="1"/>
  <c r="I43" i="1"/>
  <c r="I42" i="1"/>
  <c r="I32" i="17"/>
  <c r="J32" i="17" s="1"/>
  <c r="P52" i="1"/>
  <c r="P145" i="1" s="1"/>
  <c r="M48" i="1"/>
  <c r="M49" i="1"/>
  <c r="M50" i="1"/>
  <c r="M51" i="1"/>
  <c r="M44" i="1"/>
  <c r="M45" i="1"/>
  <c r="M46" i="1"/>
  <c r="M47" i="1"/>
  <c r="L54" i="1"/>
  <c r="K44" i="1"/>
  <c r="K45" i="1"/>
  <c r="K46" i="1"/>
  <c r="K47" i="1"/>
  <c r="K48" i="1"/>
  <c r="K49" i="1"/>
  <c r="K50" i="1"/>
  <c r="I48" i="1"/>
  <c r="I49" i="1"/>
  <c r="I50" i="1"/>
  <c r="I51" i="1"/>
  <c r="I44" i="1"/>
  <c r="I45" i="1"/>
  <c r="I46" i="1"/>
  <c r="I47" i="1"/>
  <c r="H52" i="1"/>
  <c r="H145" i="1" s="1"/>
  <c r="F52" i="1"/>
  <c r="F145" i="1" s="1"/>
  <c r="N67" i="2"/>
  <c r="P67" i="2"/>
  <c r="L67" i="2"/>
  <c r="J67" i="2"/>
  <c r="F67" i="2"/>
  <c r="H67" i="2"/>
  <c r="D136" i="16"/>
  <c r="D137" i="16"/>
  <c r="D138" i="16"/>
  <c r="C134" i="16"/>
  <c r="C135" i="16"/>
  <c r="C136" i="16"/>
  <c r="C137" i="16"/>
  <c r="C138" i="16"/>
  <c r="C139" i="16"/>
  <c r="D139" i="16" s="1"/>
  <c r="C148" i="16"/>
  <c r="D148" i="16" s="1"/>
  <c r="C147" i="16"/>
  <c r="D147" i="16" s="1"/>
  <c r="C146" i="16"/>
  <c r="D146" i="16" s="1"/>
  <c r="C145" i="16"/>
  <c r="D145" i="16" s="1"/>
  <c r="D135" i="16"/>
  <c r="D134" i="16"/>
  <c r="C133" i="16"/>
  <c r="D133" i="16" s="1"/>
  <c r="D132" i="16"/>
  <c r="C127" i="16"/>
  <c r="D127" i="16" s="1"/>
  <c r="C126" i="16"/>
  <c r="D126" i="16" s="1"/>
  <c r="C125" i="16"/>
  <c r="D125" i="16" s="1"/>
  <c r="D124" i="16"/>
  <c r="C119" i="16"/>
  <c r="D119" i="16" s="1"/>
  <c r="C118" i="16"/>
  <c r="D118" i="16" s="1"/>
  <c r="C117" i="16"/>
  <c r="D117" i="16" s="1"/>
  <c r="C116" i="16"/>
  <c r="D116" i="16" s="1"/>
  <c r="D115" i="16"/>
  <c r="D106" i="16"/>
  <c r="C110" i="16"/>
  <c r="D110" i="16" s="1"/>
  <c r="C109" i="16"/>
  <c r="D109" i="16" s="1"/>
  <c r="C108" i="16"/>
  <c r="D108" i="16" s="1"/>
  <c r="C107" i="16"/>
  <c r="D107" i="16" s="1"/>
  <c r="C97" i="16"/>
  <c r="D97" i="16" s="1"/>
  <c r="C98" i="16"/>
  <c r="D98" i="16" s="1"/>
  <c r="C99" i="16"/>
  <c r="D99" i="16" s="1"/>
  <c r="C100" i="16"/>
  <c r="D100" i="16" s="1"/>
  <c r="C101" i="16"/>
  <c r="D101" i="16" s="1"/>
  <c r="D96" i="16"/>
  <c r="D16" i="17" l="1"/>
  <c r="C16" i="17" s="1"/>
  <c r="D31" i="17"/>
  <c r="C31" i="17" s="1"/>
  <c r="D42" i="17"/>
  <c r="F42" i="17"/>
  <c r="F35" i="17" s="1"/>
  <c r="G35" i="17" s="1"/>
  <c r="D35" i="17" s="1"/>
  <c r="C35" i="17" s="1"/>
  <c r="D83" i="1"/>
  <c r="D73" i="2"/>
  <c r="D74" i="2" s="1"/>
  <c r="D43" i="2" s="1"/>
  <c r="K34" i="3"/>
  <c r="D34" i="17"/>
  <c r="C34" i="17" s="1"/>
  <c r="D104" i="2"/>
  <c r="D40" i="1"/>
  <c r="D99" i="1" s="1"/>
  <c r="R39" i="17"/>
  <c r="R32" i="17" s="1"/>
  <c r="S32" i="17" s="1"/>
  <c r="D32" i="17" s="1"/>
  <c r="C32" i="17" s="1"/>
  <c r="D39" i="17"/>
  <c r="C39" i="17" s="1"/>
  <c r="D40" i="17"/>
  <c r="C40" i="17" s="1"/>
  <c r="D41" i="17"/>
  <c r="C41" i="17" s="1"/>
  <c r="D33" i="17"/>
  <c r="C33" i="17" s="1"/>
  <c r="D38" i="17"/>
  <c r="C38" i="17" s="1"/>
  <c r="O42" i="1"/>
  <c r="O43" i="1"/>
  <c r="O41" i="1"/>
  <c r="O40" i="1"/>
  <c r="O39" i="1"/>
  <c r="G43" i="1"/>
  <c r="G42" i="1"/>
  <c r="G41" i="1"/>
  <c r="G40" i="1"/>
  <c r="G39" i="1"/>
  <c r="E43" i="1"/>
  <c r="E42" i="1"/>
  <c r="E40" i="1"/>
  <c r="E41" i="1"/>
  <c r="P54" i="1"/>
  <c r="O51" i="1"/>
  <c r="O50" i="1"/>
  <c r="O49" i="1"/>
  <c r="O48" i="1"/>
  <c r="O47" i="1"/>
  <c r="O46" i="1"/>
  <c r="O45" i="1"/>
  <c r="O44" i="1"/>
  <c r="D144" i="16"/>
  <c r="D141" i="16"/>
  <c r="D112" i="16"/>
  <c r="D103" i="16"/>
  <c r="D129" i="16"/>
  <c r="D121" i="16"/>
  <c r="U38" i="15"/>
  <c r="U35" i="15" s="1"/>
  <c r="U22" i="15" s="1"/>
  <c r="R38" i="15"/>
  <c r="R32" i="15" s="1"/>
  <c r="P9" i="1"/>
  <c r="N9" i="1"/>
  <c r="C42" i="17" l="1"/>
  <c r="M9" i="1"/>
  <c r="D42" i="1"/>
  <c r="D41" i="1"/>
  <c r="D39" i="1"/>
  <c r="U10" i="22"/>
  <c r="U10" i="21"/>
  <c r="N84" i="1"/>
  <c r="N61" i="2"/>
  <c r="U11" i="22"/>
  <c r="U11" i="21"/>
  <c r="L61" i="2"/>
  <c r="L84" i="1"/>
  <c r="U12" i="21"/>
  <c r="U12" i="22"/>
  <c r="J84" i="1"/>
  <c r="J61" i="2"/>
  <c r="U13" i="22"/>
  <c r="U13" i="21"/>
  <c r="H61" i="2"/>
  <c r="H84" i="1"/>
  <c r="U14" i="21"/>
  <c r="U14" i="22"/>
  <c r="F84" i="1"/>
  <c r="F61" i="2"/>
  <c r="U36" i="15"/>
  <c r="U23" i="15" s="1"/>
  <c r="V23" i="15" s="1"/>
  <c r="R33" i="15"/>
  <c r="R20" i="15" s="1"/>
  <c r="N66" i="2" s="1"/>
  <c r="R34" i="15"/>
  <c r="R35" i="15"/>
  <c r="R22" i="15" s="1"/>
  <c r="R36" i="15"/>
  <c r="R23" i="15" s="1"/>
  <c r="S23" i="15" s="1"/>
  <c r="R37" i="15"/>
  <c r="R24" i="15" s="1"/>
  <c r="S24" i="15" s="1"/>
  <c r="U30" i="15"/>
  <c r="U37" i="15"/>
  <c r="U24" i="15" s="1"/>
  <c r="V24" i="15" s="1"/>
  <c r="P68" i="2"/>
  <c r="U29" i="15"/>
  <c r="U31" i="15"/>
  <c r="R29" i="15"/>
  <c r="U32" i="15"/>
  <c r="R30" i="15"/>
  <c r="U33" i="15"/>
  <c r="U20" i="15" s="1"/>
  <c r="R31" i="15"/>
  <c r="U34" i="15"/>
  <c r="D150" i="16"/>
  <c r="S12" i="15"/>
  <c r="S11" i="15"/>
  <c r="S9" i="15"/>
  <c r="S8" i="15"/>
  <c r="S7" i="15"/>
  <c r="S6" i="15"/>
  <c r="U10" i="15"/>
  <c r="V22" i="15" s="1"/>
  <c r="U5" i="15"/>
  <c r="V21" i="15" s="1"/>
  <c r="U4" i="15"/>
  <c r="P12" i="15"/>
  <c r="P11" i="15"/>
  <c r="P9" i="15"/>
  <c r="P8" i="15"/>
  <c r="P7" i="15"/>
  <c r="P6" i="15"/>
  <c r="R4" i="15"/>
  <c r="R10" i="15"/>
  <c r="R5" i="15"/>
  <c r="S21" i="15" s="1"/>
  <c r="M12" i="15"/>
  <c r="M11" i="15"/>
  <c r="M9" i="15"/>
  <c r="M8" i="15"/>
  <c r="M7" i="15"/>
  <c r="M6" i="15"/>
  <c r="M4" i="15"/>
  <c r="J12" i="15"/>
  <c r="J11" i="15"/>
  <c r="J9" i="15"/>
  <c r="J8" i="15"/>
  <c r="J7" i="15"/>
  <c r="J6" i="15"/>
  <c r="G6" i="15"/>
  <c r="G7" i="15"/>
  <c r="G8" i="15"/>
  <c r="G9" i="15"/>
  <c r="G11" i="15"/>
  <c r="G12" i="15"/>
  <c r="O4" i="15"/>
  <c r="O10" i="15"/>
  <c r="O5" i="15"/>
  <c r="P21" i="15" s="1"/>
  <c r="O29" i="15"/>
  <c r="O30" i="15"/>
  <c r="O31" i="15"/>
  <c r="O32" i="15"/>
  <c r="O33" i="15"/>
  <c r="O20" i="15" s="1"/>
  <c r="O34" i="15"/>
  <c r="O35" i="15"/>
  <c r="O22" i="15" s="1"/>
  <c r="O36" i="15"/>
  <c r="O23" i="15" s="1"/>
  <c r="O37" i="15"/>
  <c r="O24" i="15" s="1"/>
  <c r="L4" i="15"/>
  <c r="L10" i="15"/>
  <c r="M10" i="15" s="1"/>
  <c r="L5" i="15"/>
  <c r="M5" i="15" s="1"/>
  <c r="L37" i="15"/>
  <c r="L24" i="15" s="1"/>
  <c r="L36" i="15"/>
  <c r="L23" i="15" s="1"/>
  <c r="L35" i="15"/>
  <c r="L22" i="15" s="1"/>
  <c r="J68" i="2" s="1"/>
  <c r="L34" i="15"/>
  <c r="L33" i="15"/>
  <c r="L20" i="15" s="1"/>
  <c r="L32" i="15"/>
  <c r="L31" i="15"/>
  <c r="L30" i="15"/>
  <c r="L29" i="15"/>
  <c r="I29" i="15"/>
  <c r="I37" i="15"/>
  <c r="I24" i="15" s="1"/>
  <c r="I36" i="15"/>
  <c r="I23" i="15" s="1"/>
  <c r="I35" i="15"/>
  <c r="I22" i="15" s="1"/>
  <c r="H68" i="2" s="1"/>
  <c r="I34" i="15"/>
  <c r="I33" i="15"/>
  <c r="I20" i="15" s="1"/>
  <c r="I32" i="15"/>
  <c r="I31" i="15"/>
  <c r="I30" i="15"/>
  <c r="I4" i="15"/>
  <c r="I10" i="15"/>
  <c r="I5" i="15"/>
  <c r="J21" i="15" s="1"/>
  <c r="F4" i="15"/>
  <c r="F5" i="15"/>
  <c r="G21" i="15" s="1"/>
  <c r="F10" i="15"/>
  <c r="G10" i="15" s="1"/>
  <c r="F30" i="15"/>
  <c r="F31" i="15"/>
  <c r="F32" i="15"/>
  <c r="F33" i="15"/>
  <c r="F20" i="15" s="1"/>
  <c r="F66" i="2" s="1"/>
  <c r="F34" i="15"/>
  <c r="F35" i="15"/>
  <c r="F22" i="15" s="1"/>
  <c r="F68" i="2" s="1"/>
  <c r="F36" i="15"/>
  <c r="F23" i="15" s="1"/>
  <c r="F37" i="15"/>
  <c r="F24" i="15" s="1"/>
  <c r="F29" i="15"/>
  <c r="P10" i="15" l="1"/>
  <c r="I13" i="15"/>
  <c r="G13" i="15" s="1"/>
  <c r="D8" i="15"/>
  <c r="C8" i="15" s="1"/>
  <c r="G4" i="15"/>
  <c r="M21" i="15"/>
  <c r="D21" i="15" s="1"/>
  <c r="C21" i="15" s="1"/>
  <c r="D67" i="2" s="1"/>
  <c r="D54" i="2" s="1"/>
  <c r="S10" i="15"/>
  <c r="J10" i="15"/>
  <c r="D10" i="15" s="1"/>
  <c r="C10" i="15" s="1"/>
  <c r="R13" i="15"/>
  <c r="D7" i="15"/>
  <c r="C7" i="15" s="1"/>
  <c r="D11" i="15"/>
  <c r="C11" i="15" s="1"/>
  <c r="D6" i="15"/>
  <c r="C6" i="15" s="1"/>
  <c r="J4" i="15"/>
  <c r="D12" i="15"/>
  <c r="C12" i="15" s="1"/>
  <c r="S22" i="15"/>
  <c r="L19" i="15"/>
  <c r="M19" i="15" s="1"/>
  <c r="F19" i="15"/>
  <c r="F65" i="2" s="1"/>
  <c r="J5" i="15"/>
  <c r="D9" i="15"/>
  <c r="C9" i="15" s="1"/>
  <c r="U13" i="15"/>
  <c r="P24" i="15"/>
  <c r="L70" i="2"/>
  <c r="M23" i="15"/>
  <c r="D23" i="15" s="1"/>
  <c r="C23" i="15" s="1"/>
  <c r="D69" i="2" s="1"/>
  <c r="D56" i="2" s="1"/>
  <c r="J69" i="2"/>
  <c r="J24" i="15"/>
  <c r="H70" i="2"/>
  <c r="F18" i="15"/>
  <c r="F25" i="15" s="1"/>
  <c r="P5" i="15"/>
  <c r="S4" i="15"/>
  <c r="P4" i="15"/>
  <c r="M24" i="15"/>
  <c r="J70" i="2"/>
  <c r="G23" i="15"/>
  <c r="F69" i="2"/>
  <c r="L18" i="15"/>
  <c r="L25" i="15" s="1"/>
  <c r="J23" i="15"/>
  <c r="H69" i="2"/>
  <c r="L13" i="15"/>
  <c r="P23" i="15"/>
  <c r="L69" i="2"/>
  <c r="G24" i="15"/>
  <c r="F70" i="2"/>
  <c r="P22" i="15"/>
  <c r="L68" i="2"/>
  <c r="S5" i="15"/>
  <c r="M20" i="15"/>
  <c r="J66" i="2"/>
  <c r="J20" i="15"/>
  <c r="H66" i="2"/>
  <c r="P20" i="15"/>
  <c r="L66" i="2"/>
  <c r="D106" i="1"/>
  <c r="D43" i="1"/>
  <c r="C43" i="1" s="1"/>
  <c r="D92" i="1"/>
  <c r="U9" i="22"/>
  <c r="U9" i="21"/>
  <c r="P61" i="2"/>
  <c r="P84" i="1"/>
  <c r="M97" i="2"/>
  <c r="N97" i="2" s="1"/>
  <c r="M94" i="2"/>
  <c r="N94" i="2" s="1"/>
  <c r="M93" i="2"/>
  <c r="N93" i="2" s="1"/>
  <c r="K94" i="2"/>
  <c r="L94" i="2" s="1"/>
  <c r="K93" i="2"/>
  <c r="L93" i="2" s="1"/>
  <c r="K97" i="2"/>
  <c r="L97" i="2" s="1"/>
  <c r="I97" i="2"/>
  <c r="J97" i="2" s="1"/>
  <c r="I93" i="2"/>
  <c r="J93" i="2" s="1"/>
  <c r="I94" i="2"/>
  <c r="J94" i="2" s="1"/>
  <c r="G97" i="2"/>
  <c r="H97" i="2" s="1"/>
  <c r="G94" i="2"/>
  <c r="H94" i="2" s="1"/>
  <c r="G93" i="2"/>
  <c r="H93" i="2" s="1"/>
  <c r="E93" i="2"/>
  <c r="F93" i="2" s="1"/>
  <c r="E97" i="2"/>
  <c r="F97" i="2" s="1"/>
  <c r="E94" i="2"/>
  <c r="F94" i="2" s="1"/>
  <c r="N69" i="2"/>
  <c r="N70" i="2"/>
  <c r="P70" i="2"/>
  <c r="P69" i="2"/>
  <c r="R19" i="15"/>
  <c r="N65" i="2" s="1"/>
  <c r="R18" i="15"/>
  <c r="S18" i="15" s="1"/>
  <c r="N68" i="2"/>
  <c r="S20" i="15"/>
  <c r="U19" i="15"/>
  <c r="V19" i="15" s="1"/>
  <c r="V20" i="15"/>
  <c r="P66" i="2"/>
  <c r="U18" i="15"/>
  <c r="G5" i="15"/>
  <c r="O13" i="15"/>
  <c r="P13" i="15" s="1"/>
  <c r="O18" i="15"/>
  <c r="O25" i="15" s="1"/>
  <c r="I18" i="15"/>
  <c r="I19" i="15"/>
  <c r="O19" i="15"/>
  <c r="M22" i="15"/>
  <c r="J22" i="15"/>
  <c r="G22" i="15"/>
  <c r="D22" i="15" s="1"/>
  <c r="C22" i="15" s="1"/>
  <c r="D68" i="2" s="1"/>
  <c r="D55" i="2" s="1"/>
  <c r="G19" i="15"/>
  <c r="H45" i="2"/>
  <c r="F45" i="2"/>
  <c r="S13" i="15" l="1"/>
  <c r="M13" i="15"/>
  <c r="D24" i="15"/>
  <c r="C24" i="15" s="1"/>
  <c r="D70" i="2" s="1"/>
  <c r="D57" i="2" s="1"/>
  <c r="J65" i="2"/>
  <c r="D4" i="15"/>
  <c r="C4" i="15" s="1"/>
  <c r="P19" i="15"/>
  <c r="L65" i="2"/>
  <c r="J19" i="15"/>
  <c r="H65" i="2"/>
  <c r="L64" i="2"/>
  <c r="L62" i="2" s="1"/>
  <c r="P18" i="15"/>
  <c r="F64" i="2"/>
  <c r="F62" i="2" s="1"/>
  <c r="F51" i="2" s="1"/>
  <c r="D5" i="15"/>
  <c r="C5" i="15" s="1"/>
  <c r="G18" i="15"/>
  <c r="M18" i="15"/>
  <c r="J64" i="2"/>
  <c r="J62" i="2" s="1"/>
  <c r="P25" i="15"/>
  <c r="L71" i="2"/>
  <c r="L59" i="2" s="1"/>
  <c r="L60" i="2" s="1"/>
  <c r="J13" i="15"/>
  <c r="I25" i="15"/>
  <c r="H64" i="2"/>
  <c r="M25" i="15"/>
  <c r="J71" i="2"/>
  <c r="J59" i="2" s="1"/>
  <c r="J60" i="2" s="1"/>
  <c r="G25" i="15"/>
  <c r="F71" i="2"/>
  <c r="F95" i="2"/>
  <c r="F100" i="2" s="1"/>
  <c r="J95" i="2"/>
  <c r="J99" i="2" s="1"/>
  <c r="H95" i="2"/>
  <c r="H99" i="2" s="1"/>
  <c r="N95" i="2"/>
  <c r="M95" i="2" s="1"/>
  <c r="O93" i="2"/>
  <c r="P93" i="2" s="1"/>
  <c r="O94" i="2"/>
  <c r="P94" i="2" s="1"/>
  <c r="O97" i="2"/>
  <c r="P97" i="2" s="1"/>
  <c r="L95" i="2"/>
  <c r="L102" i="2" s="1"/>
  <c r="R25" i="15"/>
  <c r="N71" i="2" s="1"/>
  <c r="N64" i="2"/>
  <c r="N62" i="2" s="1"/>
  <c r="S19" i="15"/>
  <c r="P65" i="2"/>
  <c r="P64" i="2"/>
  <c r="U25" i="15"/>
  <c r="V18" i="15"/>
  <c r="J18" i="15"/>
  <c r="G20" i="15"/>
  <c r="D20" i="15" s="1"/>
  <c r="C20" i="15" s="1"/>
  <c r="D66" i="2" s="1"/>
  <c r="D53" i="2" s="1"/>
  <c r="H75" i="1"/>
  <c r="F75" i="1"/>
  <c r="G21" i="4"/>
  <c r="K21" i="4"/>
  <c r="I21" i="4"/>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3" i="6"/>
  <c r="G3" i="11"/>
  <c r="O1238" i="11"/>
  <c r="O1237" i="11"/>
  <c r="O1236" i="11"/>
  <c r="O1235" i="11"/>
  <c r="O1234" i="11"/>
  <c r="O1233" i="11"/>
  <c r="O1232" i="11"/>
  <c r="O1231" i="11"/>
  <c r="O1230" i="11"/>
  <c r="O1229" i="11"/>
  <c r="O1228" i="11"/>
  <c r="O1227" i="11"/>
  <c r="O1226" i="11"/>
  <c r="O1225" i="11"/>
  <c r="O1224" i="11"/>
  <c r="O1223" i="11"/>
  <c r="O1222" i="11"/>
  <c r="O1221" i="11"/>
  <c r="O1220" i="11"/>
  <c r="O1219" i="11"/>
  <c r="O1218" i="11"/>
  <c r="O1217" i="11"/>
  <c r="O1216" i="11"/>
  <c r="O1215" i="11"/>
  <c r="O1214" i="11"/>
  <c r="O1213" i="11"/>
  <c r="O1212" i="11"/>
  <c r="O1211" i="11"/>
  <c r="O1210" i="11"/>
  <c r="O1209" i="11"/>
  <c r="O1208" i="11"/>
  <c r="O1207" i="11"/>
  <c r="O1206" i="11"/>
  <c r="O1205" i="11"/>
  <c r="O1204" i="11"/>
  <c r="O1203" i="11"/>
  <c r="O1202" i="11"/>
  <c r="O1201" i="11"/>
  <c r="O1200" i="11"/>
  <c r="O1199" i="11"/>
  <c r="O1198" i="11"/>
  <c r="O1197" i="11"/>
  <c r="O1196" i="11"/>
  <c r="O1195" i="11"/>
  <c r="O1194" i="11"/>
  <c r="O1193" i="11"/>
  <c r="O1192" i="11"/>
  <c r="O1191" i="11"/>
  <c r="O1190" i="11"/>
  <c r="O1189" i="11"/>
  <c r="O1188" i="11"/>
  <c r="O1187" i="11"/>
  <c r="O1186" i="11"/>
  <c r="O1185" i="11"/>
  <c r="O1184" i="11"/>
  <c r="O1183" i="11"/>
  <c r="O1182" i="11"/>
  <c r="O1181" i="11"/>
  <c r="O1180" i="11"/>
  <c r="O1179" i="11"/>
  <c r="O1178" i="11"/>
  <c r="O1177" i="11"/>
  <c r="O1176" i="11"/>
  <c r="O1175" i="11"/>
  <c r="O1174" i="11"/>
  <c r="O1173" i="11"/>
  <c r="O1172" i="11"/>
  <c r="O1171" i="11"/>
  <c r="O1170" i="11"/>
  <c r="O1169" i="11"/>
  <c r="O1168" i="11"/>
  <c r="O1167" i="11"/>
  <c r="O1166" i="11"/>
  <c r="O1165" i="11"/>
  <c r="O1164" i="11"/>
  <c r="O1163" i="11"/>
  <c r="O1162" i="11"/>
  <c r="O1161" i="11"/>
  <c r="O1160" i="11"/>
  <c r="O1159" i="11"/>
  <c r="O1158" i="11"/>
  <c r="O1157" i="11"/>
  <c r="O1156" i="11"/>
  <c r="O1155" i="11"/>
  <c r="O1154" i="11"/>
  <c r="O1153" i="11"/>
  <c r="O1152" i="11"/>
  <c r="O1151" i="11"/>
  <c r="O1150" i="11"/>
  <c r="O1149" i="11"/>
  <c r="O1148" i="11"/>
  <c r="O1147" i="11"/>
  <c r="O1146" i="11"/>
  <c r="O1145" i="11"/>
  <c r="O1144" i="11"/>
  <c r="O1143" i="11"/>
  <c r="O1142" i="11"/>
  <c r="O1141" i="11"/>
  <c r="O1140" i="11"/>
  <c r="O1139" i="11"/>
  <c r="O1138" i="11"/>
  <c r="O1137" i="11"/>
  <c r="O1136" i="11"/>
  <c r="O1135" i="11"/>
  <c r="O1134" i="11"/>
  <c r="O1133" i="11"/>
  <c r="O1132" i="11"/>
  <c r="O1131" i="11"/>
  <c r="O1130" i="11"/>
  <c r="O1129" i="11"/>
  <c r="O1128" i="11"/>
  <c r="O1127" i="11"/>
  <c r="O1126" i="11"/>
  <c r="O1125" i="11"/>
  <c r="O1124" i="11"/>
  <c r="O1123" i="11"/>
  <c r="O1122" i="11"/>
  <c r="O1121" i="11"/>
  <c r="O1120" i="11"/>
  <c r="O1119" i="11"/>
  <c r="O1118" i="11"/>
  <c r="O1117" i="11"/>
  <c r="O1116" i="11"/>
  <c r="O1115" i="11"/>
  <c r="O1114" i="11"/>
  <c r="O1113" i="11"/>
  <c r="O1112" i="11"/>
  <c r="O1111" i="11"/>
  <c r="O1110" i="11"/>
  <c r="O1109" i="11"/>
  <c r="O1108" i="11"/>
  <c r="O1107" i="11"/>
  <c r="O1106" i="11"/>
  <c r="O1105" i="11"/>
  <c r="O1104" i="11"/>
  <c r="O1103" i="11"/>
  <c r="O1102" i="11"/>
  <c r="O1101" i="11"/>
  <c r="O1100" i="11"/>
  <c r="O1099" i="11"/>
  <c r="O1098" i="11"/>
  <c r="O1097" i="11"/>
  <c r="O1096" i="11"/>
  <c r="O1095" i="11"/>
  <c r="O1094" i="11"/>
  <c r="O1093" i="11"/>
  <c r="O1092" i="11"/>
  <c r="O1091" i="11"/>
  <c r="O1090" i="11"/>
  <c r="O1089" i="11"/>
  <c r="O1088" i="11"/>
  <c r="O1087" i="11"/>
  <c r="O1086" i="11"/>
  <c r="O1085" i="11"/>
  <c r="O1084" i="11"/>
  <c r="O1083" i="11"/>
  <c r="O1082" i="11"/>
  <c r="O1081" i="11"/>
  <c r="O1080" i="11"/>
  <c r="O1079" i="11"/>
  <c r="O1078" i="11"/>
  <c r="O1077" i="11"/>
  <c r="O1076" i="11"/>
  <c r="O1075" i="11"/>
  <c r="O1074" i="11"/>
  <c r="O1073" i="11"/>
  <c r="O1072" i="11"/>
  <c r="O1071" i="11"/>
  <c r="O1070" i="11"/>
  <c r="O1069" i="11"/>
  <c r="O1068" i="11"/>
  <c r="O1067" i="11"/>
  <c r="O1066" i="11"/>
  <c r="O1065" i="11"/>
  <c r="O1064" i="11"/>
  <c r="O1063" i="11"/>
  <c r="O1062" i="11"/>
  <c r="O1061" i="11"/>
  <c r="O1060" i="11"/>
  <c r="O1059" i="11"/>
  <c r="O1058" i="11"/>
  <c r="O1057" i="11"/>
  <c r="O1056" i="11"/>
  <c r="O1055" i="11"/>
  <c r="O1054" i="11"/>
  <c r="O1053" i="11"/>
  <c r="O1052" i="11"/>
  <c r="O1051" i="11"/>
  <c r="O1050" i="11"/>
  <c r="O1049" i="11"/>
  <c r="O1048" i="11"/>
  <c r="O1047" i="11"/>
  <c r="O1046" i="11"/>
  <c r="O1045" i="11"/>
  <c r="O1044" i="11"/>
  <c r="O1043" i="11"/>
  <c r="O1042" i="11"/>
  <c r="O1041" i="11"/>
  <c r="O1040" i="11"/>
  <c r="O1039" i="11"/>
  <c r="O1038" i="11"/>
  <c r="O1037" i="11"/>
  <c r="O1036" i="11"/>
  <c r="O1035" i="11"/>
  <c r="O1034" i="11"/>
  <c r="O1033" i="11"/>
  <c r="O1032" i="11"/>
  <c r="O1031" i="11"/>
  <c r="O1030" i="11"/>
  <c r="O1029" i="11"/>
  <c r="O1028" i="11"/>
  <c r="O1027" i="11"/>
  <c r="O1026" i="11"/>
  <c r="O1025" i="11"/>
  <c r="O1024" i="11"/>
  <c r="O1023" i="11"/>
  <c r="O1022" i="11"/>
  <c r="O1021" i="11"/>
  <c r="O1020" i="11"/>
  <c r="O1019" i="11"/>
  <c r="O1018" i="11"/>
  <c r="O1017" i="11"/>
  <c r="O1016" i="11"/>
  <c r="O1015" i="11"/>
  <c r="O1014" i="11"/>
  <c r="O1013" i="11"/>
  <c r="O1012" i="11"/>
  <c r="O1011" i="11"/>
  <c r="O1010" i="11"/>
  <c r="O1009" i="11"/>
  <c r="O1008" i="11"/>
  <c r="O1007" i="11"/>
  <c r="O1006" i="11"/>
  <c r="O1005" i="11"/>
  <c r="O1004" i="11"/>
  <c r="O1003" i="11"/>
  <c r="O1002" i="11"/>
  <c r="O1001" i="11"/>
  <c r="O1000" i="11"/>
  <c r="O999" i="11"/>
  <c r="O998" i="11"/>
  <c r="O997" i="11"/>
  <c r="O996" i="11"/>
  <c r="O995" i="11"/>
  <c r="O994" i="11"/>
  <c r="O993" i="11"/>
  <c r="O992" i="11"/>
  <c r="O991" i="11"/>
  <c r="O990" i="11"/>
  <c r="O989" i="11"/>
  <c r="O988" i="11"/>
  <c r="O987" i="11"/>
  <c r="O986" i="11"/>
  <c r="O985" i="11"/>
  <c r="O984" i="11"/>
  <c r="O983" i="11"/>
  <c r="O982" i="11"/>
  <c r="O981" i="11"/>
  <c r="O980" i="11"/>
  <c r="O979" i="11"/>
  <c r="O978" i="11"/>
  <c r="O977" i="11"/>
  <c r="O976" i="11"/>
  <c r="O975" i="11"/>
  <c r="O974" i="11"/>
  <c r="O973" i="11"/>
  <c r="O972" i="11"/>
  <c r="O971" i="11"/>
  <c r="O970" i="11"/>
  <c r="O969" i="11"/>
  <c r="O968" i="11"/>
  <c r="O967" i="11"/>
  <c r="O966" i="11"/>
  <c r="O965" i="11"/>
  <c r="O964" i="11"/>
  <c r="O963" i="11"/>
  <c r="O962" i="11"/>
  <c r="O961" i="11"/>
  <c r="O960" i="11"/>
  <c r="O959" i="11"/>
  <c r="O958" i="11"/>
  <c r="O957" i="11"/>
  <c r="O956" i="11"/>
  <c r="O955" i="11"/>
  <c r="O954" i="11"/>
  <c r="O953" i="11"/>
  <c r="O952" i="11"/>
  <c r="O951" i="11"/>
  <c r="O950" i="11"/>
  <c r="O949" i="11"/>
  <c r="O948" i="11"/>
  <c r="O947" i="11"/>
  <c r="O946" i="11"/>
  <c r="O945" i="11"/>
  <c r="O944" i="11"/>
  <c r="O943" i="11"/>
  <c r="O942" i="11"/>
  <c r="O941" i="11"/>
  <c r="O940" i="11"/>
  <c r="O939" i="11"/>
  <c r="O938" i="11"/>
  <c r="O937" i="11"/>
  <c r="O936" i="11"/>
  <c r="O935" i="11"/>
  <c r="O934" i="11"/>
  <c r="O933" i="11"/>
  <c r="O932" i="11"/>
  <c r="O931" i="11"/>
  <c r="O930" i="11"/>
  <c r="O929" i="11"/>
  <c r="O928" i="11"/>
  <c r="O927" i="11"/>
  <c r="O926" i="11"/>
  <c r="O925" i="11"/>
  <c r="O924" i="11"/>
  <c r="O923" i="11"/>
  <c r="O922" i="11"/>
  <c r="O921" i="11"/>
  <c r="O920" i="11"/>
  <c r="O919" i="11"/>
  <c r="O918" i="11"/>
  <c r="O917" i="11"/>
  <c r="O916" i="11"/>
  <c r="O915" i="11"/>
  <c r="O914" i="11"/>
  <c r="O913" i="11"/>
  <c r="O912" i="11"/>
  <c r="O911" i="11"/>
  <c r="O910" i="11"/>
  <c r="O909" i="11"/>
  <c r="O908" i="11"/>
  <c r="O907" i="11"/>
  <c r="O906" i="11"/>
  <c r="O905" i="11"/>
  <c r="O904" i="11"/>
  <c r="O903" i="11"/>
  <c r="O902" i="11"/>
  <c r="O901" i="11"/>
  <c r="O900" i="11"/>
  <c r="O899" i="11"/>
  <c r="O898" i="11"/>
  <c r="O897" i="11"/>
  <c r="O896" i="11"/>
  <c r="O895" i="11"/>
  <c r="O894" i="11"/>
  <c r="O893" i="11"/>
  <c r="O892" i="11"/>
  <c r="O891" i="11"/>
  <c r="O890" i="11"/>
  <c r="O889" i="11"/>
  <c r="O888" i="11"/>
  <c r="O887" i="11"/>
  <c r="O886" i="11"/>
  <c r="O885" i="11"/>
  <c r="O884" i="11"/>
  <c r="O883" i="11"/>
  <c r="O882" i="11"/>
  <c r="O881" i="11"/>
  <c r="O880" i="11"/>
  <c r="O879" i="11"/>
  <c r="O878" i="11"/>
  <c r="O877" i="11"/>
  <c r="O876" i="11"/>
  <c r="O875" i="11"/>
  <c r="O874" i="11"/>
  <c r="O873" i="11"/>
  <c r="O872" i="11"/>
  <c r="O871" i="11"/>
  <c r="O870" i="11"/>
  <c r="O869" i="11"/>
  <c r="O868" i="11"/>
  <c r="O867" i="11"/>
  <c r="O866" i="11"/>
  <c r="O865" i="11"/>
  <c r="O864" i="11"/>
  <c r="O863" i="11"/>
  <c r="O862" i="11"/>
  <c r="O861" i="11"/>
  <c r="O860" i="11"/>
  <c r="O859" i="11"/>
  <c r="O858" i="11"/>
  <c r="O857" i="11"/>
  <c r="O856" i="11"/>
  <c r="O855" i="11"/>
  <c r="O854" i="11"/>
  <c r="O853" i="11"/>
  <c r="O852" i="11"/>
  <c r="O851" i="11"/>
  <c r="O850" i="11"/>
  <c r="O849" i="11"/>
  <c r="O848" i="11"/>
  <c r="O847" i="11"/>
  <c r="O846" i="11"/>
  <c r="O845" i="11"/>
  <c r="O844" i="11"/>
  <c r="O843" i="11"/>
  <c r="O842" i="11"/>
  <c r="O841" i="11"/>
  <c r="O840" i="11"/>
  <c r="O839" i="11"/>
  <c r="O838" i="11"/>
  <c r="O837" i="11"/>
  <c r="O836" i="11"/>
  <c r="O835" i="11"/>
  <c r="O834" i="11"/>
  <c r="O833" i="11"/>
  <c r="O832" i="11"/>
  <c r="O831" i="11"/>
  <c r="O830" i="11"/>
  <c r="O829" i="11"/>
  <c r="O828" i="11"/>
  <c r="O827" i="11"/>
  <c r="O826" i="11"/>
  <c r="O825" i="11"/>
  <c r="O824" i="11"/>
  <c r="O823" i="11"/>
  <c r="O822" i="11"/>
  <c r="O821" i="11"/>
  <c r="O820" i="11"/>
  <c r="O819" i="11"/>
  <c r="O818" i="11"/>
  <c r="O817" i="11"/>
  <c r="O816" i="11"/>
  <c r="O815" i="11"/>
  <c r="O814" i="11"/>
  <c r="O813" i="11"/>
  <c r="O812" i="11"/>
  <c r="O811" i="11"/>
  <c r="O810" i="11"/>
  <c r="O809" i="11"/>
  <c r="O808" i="11"/>
  <c r="O807" i="11"/>
  <c r="O806" i="11"/>
  <c r="O805" i="11"/>
  <c r="O804" i="11"/>
  <c r="O803" i="11"/>
  <c r="O802" i="11"/>
  <c r="O801" i="11"/>
  <c r="O800" i="11"/>
  <c r="O799" i="11"/>
  <c r="O798" i="11"/>
  <c r="O797" i="11"/>
  <c r="O796" i="11"/>
  <c r="O795" i="11"/>
  <c r="O794" i="11"/>
  <c r="O793" i="11"/>
  <c r="O792" i="11"/>
  <c r="O791" i="11"/>
  <c r="O790" i="11"/>
  <c r="O789" i="11"/>
  <c r="O788" i="11"/>
  <c r="O787" i="11"/>
  <c r="O786" i="11"/>
  <c r="O785" i="11"/>
  <c r="O784" i="11"/>
  <c r="O783" i="11"/>
  <c r="O782" i="11"/>
  <c r="O781" i="11"/>
  <c r="O780" i="11"/>
  <c r="O779" i="11"/>
  <c r="O778" i="11"/>
  <c r="O777" i="11"/>
  <c r="O776" i="11"/>
  <c r="O775" i="11"/>
  <c r="O774" i="11"/>
  <c r="O773" i="11"/>
  <c r="O772" i="11"/>
  <c r="O771" i="11"/>
  <c r="O770" i="11"/>
  <c r="O769" i="11"/>
  <c r="O768" i="11"/>
  <c r="O767" i="11"/>
  <c r="O766" i="11"/>
  <c r="O765" i="11"/>
  <c r="O764" i="11"/>
  <c r="O763" i="11"/>
  <c r="O762" i="11"/>
  <c r="O761" i="11"/>
  <c r="O760" i="11"/>
  <c r="O759" i="11"/>
  <c r="O758" i="11"/>
  <c r="O757" i="11"/>
  <c r="O756" i="11"/>
  <c r="O755" i="11"/>
  <c r="O754" i="11"/>
  <c r="O753" i="11"/>
  <c r="O752" i="11"/>
  <c r="O751" i="11"/>
  <c r="O750" i="11"/>
  <c r="O749" i="11"/>
  <c r="O748" i="11"/>
  <c r="O747" i="11"/>
  <c r="O746" i="11"/>
  <c r="O745" i="11"/>
  <c r="O744" i="11"/>
  <c r="O743" i="11"/>
  <c r="O742" i="11"/>
  <c r="O741" i="11"/>
  <c r="O740" i="11"/>
  <c r="O739" i="11"/>
  <c r="O738" i="11"/>
  <c r="O737" i="11"/>
  <c r="O736" i="11"/>
  <c r="O735" i="11"/>
  <c r="O734" i="11"/>
  <c r="O733" i="11"/>
  <c r="O732" i="11"/>
  <c r="O731" i="11"/>
  <c r="O730" i="11"/>
  <c r="O729" i="11"/>
  <c r="O728" i="11"/>
  <c r="O727" i="11"/>
  <c r="O726" i="11"/>
  <c r="O725" i="11"/>
  <c r="O724" i="11"/>
  <c r="O723" i="11"/>
  <c r="O722" i="11"/>
  <c r="O721" i="11"/>
  <c r="O720" i="11"/>
  <c r="O719" i="11"/>
  <c r="O718" i="11"/>
  <c r="O717" i="11"/>
  <c r="O716" i="11"/>
  <c r="O715" i="11"/>
  <c r="O714" i="11"/>
  <c r="O713" i="11"/>
  <c r="O712" i="11"/>
  <c r="O711" i="11"/>
  <c r="O710" i="11"/>
  <c r="O709" i="11"/>
  <c r="O708" i="11"/>
  <c r="O707" i="11"/>
  <c r="O706" i="11"/>
  <c r="O705" i="11"/>
  <c r="O704" i="11"/>
  <c r="O703" i="11"/>
  <c r="O702" i="11"/>
  <c r="O701" i="11"/>
  <c r="O700" i="11"/>
  <c r="O699" i="11"/>
  <c r="O698" i="11"/>
  <c r="O697" i="11"/>
  <c r="O696" i="11"/>
  <c r="O695" i="11"/>
  <c r="O694" i="11"/>
  <c r="O693" i="11"/>
  <c r="O692" i="11"/>
  <c r="O691" i="11"/>
  <c r="O690" i="11"/>
  <c r="O689" i="11"/>
  <c r="O688" i="11"/>
  <c r="O687" i="11"/>
  <c r="O686" i="11"/>
  <c r="O685" i="11"/>
  <c r="O684" i="11"/>
  <c r="O683" i="11"/>
  <c r="O682" i="11"/>
  <c r="O681" i="11"/>
  <c r="O680" i="11"/>
  <c r="O679" i="11"/>
  <c r="O678" i="11"/>
  <c r="O677" i="11"/>
  <c r="O676" i="11"/>
  <c r="O675" i="11"/>
  <c r="O674" i="11"/>
  <c r="O673" i="11"/>
  <c r="O672" i="11"/>
  <c r="O671" i="11"/>
  <c r="O670" i="11"/>
  <c r="O669" i="11"/>
  <c r="O668" i="11"/>
  <c r="O667" i="11"/>
  <c r="O666" i="11"/>
  <c r="O665" i="11"/>
  <c r="O664" i="11"/>
  <c r="O663" i="11"/>
  <c r="O662" i="11"/>
  <c r="O661" i="11"/>
  <c r="O660" i="11"/>
  <c r="O659" i="11"/>
  <c r="O658" i="11"/>
  <c r="O657" i="11"/>
  <c r="O656" i="11"/>
  <c r="O655" i="11"/>
  <c r="O654" i="11"/>
  <c r="O653" i="11"/>
  <c r="O652" i="11"/>
  <c r="O651" i="11"/>
  <c r="O650" i="11"/>
  <c r="O649" i="11"/>
  <c r="O648" i="11"/>
  <c r="O647" i="11"/>
  <c r="O646" i="11"/>
  <c r="O645" i="11"/>
  <c r="O644" i="11"/>
  <c r="O643" i="11"/>
  <c r="O642" i="11"/>
  <c r="O641" i="11"/>
  <c r="O640" i="11"/>
  <c r="O639" i="11"/>
  <c r="O638" i="11"/>
  <c r="O637" i="11"/>
  <c r="O636" i="11"/>
  <c r="O635" i="11"/>
  <c r="O634" i="11"/>
  <c r="O633" i="11"/>
  <c r="O632" i="11"/>
  <c r="O631" i="11"/>
  <c r="O630" i="11"/>
  <c r="O629" i="11"/>
  <c r="O628" i="11"/>
  <c r="O627" i="11"/>
  <c r="O626" i="11"/>
  <c r="O625" i="11"/>
  <c r="O624" i="11"/>
  <c r="O623" i="11"/>
  <c r="O622" i="11"/>
  <c r="O621" i="11"/>
  <c r="O620" i="11"/>
  <c r="O619" i="11"/>
  <c r="O618" i="11"/>
  <c r="O617" i="11"/>
  <c r="O616" i="11"/>
  <c r="O615" i="11"/>
  <c r="O614" i="11"/>
  <c r="O613" i="11"/>
  <c r="O612" i="11"/>
  <c r="O611" i="11"/>
  <c r="O610" i="11"/>
  <c r="O609" i="11"/>
  <c r="O608" i="11"/>
  <c r="O607" i="11"/>
  <c r="O606" i="11"/>
  <c r="O605" i="11"/>
  <c r="O604" i="11"/>
  <c r="O603" i="11"/>
  <c r="O602" i="11"/>
  <c r="O601" i="11"/>
  <c r="O600" i="11"/>
  <c r="O599" i="11"/>
  <c r="O598" i="11"/>
  <c r="O597" i="11"/>
  <c r="O596" i="11"/>
  <c r="O595" i="11"/>
  <c r="O594" i="11"/>
  <c r="O593" i="11"/>
  <c r="O592" i="11"/>
  <c r="O591" i="11"/>
  <c r="O590" i="11"/>
  <c r="O589" i="11"/>
  <c r="O588" i="11"/>
  <c r="O587" i="11"/>
  <c r="O586" i="11"/>
  <c r="O585" i="11"/>
  <c r="O584" i="11"/>
  <c r="O583" i="11"/>
  <c r="O582" i="11"/>
  <c r="O581" i="11"/>
  <c r="O580" i="11"/>
  <c r="O579" i="11"/>
  <c r="O578" i="11"/>
  <c r="O577" i="11"/>
  <c r="O576" i="11"/>
  <c r="O575" i="11"/>
  <c r="O574" i="11"/>
  <c r="O573" i="11"/>
  <c r="O572" i="11"/>
  <c r="O571" i="11"/>
  <c r="O570" i="11"/>
  <c r="O569" i="11"/>
  <c r="O568" i="11"/>
  <c r="O567" i="11"/>
  <c r="O566" i="11"/>
  <c r="O565" i="11"/>
  <c r="O564" i="11"/>
  <c r="O563" i="11"/>
  <c r="O562" i="11"/>
  <c r="O561" i="11"/>
  <c r="O560" i="11"/>
  <c r="O559" i="11"/>
  <c r="O558" i="11"/>
  <c r="O557" i="11"/>
  <c r="O556" i="11"/>
  <c r="O555" i="11"/>
  <c r="O554" i="11"/>
  <c r="O553" i="11"/>
  <c r="O552" i="11"/>
  <c r="O551" i="11"/>
  <c r="O550" i="11"/>
  <c r="O549" i="11"/>
  <c r="O548" i="11"/>
  <c r="O547" i="11"/>
  <c r="O546" i="11"/>
  <c r="O545" i="11"/>
  <c r="O544" i="11"/>
  <c r="O543" i="11"/>
  <c r="O542" i="11"/>
  <c r="O541" i="11"/>
  <c r="O540" i="11"/>
  <c r="O539" i="11"/>
  <c r="O538" i="11"/>
  <c r="O537" i="11"/>
  <c r="O536" i="11"/>
  <c r="O535" i="11"/>
  <c r="O534" i="11"/>
  <c r="O533" i="11"/>
  <c r="O532" i="11"/>
  <c r="O531" i="11"/>
  <c r="O530" i="11"/>
  <c r="O529" i="11"/>
  <c r="O528" i="11"/>
  <c r="O527" i="11"/>
  <c r="O526" i="11"/>
  <c r="O525" i="11"/>
  <c r="O524" i="11"/>
  <c r="O523" i="11"/>
  <c r="O522" i="11"/>
  <c r="O521" i="11"/>
  <c r="O520" i="11"/>
  <c r="O519" i="11"/>
  <c r="O518" i="11"/>
  <c r="O517" i="11"/>
  <c r="O516" i="11"/>
  <c r="O515" i="11"/>
  <c r="O514" i="11"/>
  <c r="O513" i="11"/>
  <c r="O512" i="11"/>
  <c r="O511" i="11"/>
  <c r="O510" i="11"/>
  <c r="O509" i="11"/>
  <c r="O508" i="11"/>
  <c r="O507" i="11"/>
  <c r="O506" i="11"/>
  <c r="O505" i="11"/>
  <c r="O504" i="11"/>
  <c r="O503" i="11"/>
  <c r="O502" i="11"/>
  <c r="O501" i="11"/>
  <c r="O500" i="11"/>
  <c r="O499" i="11"/>
  <c r="O498" i="11"/>
  <c r="O497" i="11"/>
  <c r="O496" i="11"/>
  <c r="O495" i="11"/>
  <c r="O494" i="11"/>
  <c r="O493" i="11"/>
  <c r="O492" i="11"/>
  <c r="O491" i="11"/>
  <c r="O490" i="11"/>
  <c r="O489" i="11"/>
  <c r="O488" i="11"/>
  <c r="O487" i="11"/>
  <c r="O486" i="11"/>
  <c r="O485" i="11"/>
  <c r="O484" i="11"/>
  <c r="O483" i="11"/>
  <c r="O482" i="11"/>
  <c r="O481" i="11"/>
  <c r="O480" i="11"/>
  <c r="O479" i="11"/>
  <c r="O478" i="11"/>
  <c r="O477" i="11"/>
  <c r="O476" i="11"/>
  <c r="O475" i="11"/>
  <c r="O474" i="11"/>
  <c r="O473" i="11"/>
  <c r="O472" i="11"/>
  <c r="O471" i="11"/>
  <c r="O470" i="11"/>
  <c r="O469" i="11"/>
  <c r="O468" i="11"/>
  <c r="O467" i="11"/>
  <c r="O466" i="11"/>
  <c r="O465" i="11"/>
  <c r="O464" i="11"/>
  <c r="O463" i="11"/>
  <c r="O462" i="11"/>
  <c r="O461" i="11"/>
  <c r="O460" i="11"/>
  <c r="O459" i="11"/>
  <c r="O458" i="11"/>
  <c r="O457" i="11"/>
  <c r="O456" i="11"/>
  <c r="O455" i="11"/>
  <c r="O454" i="11"/>
  <c r="O453" i="11"/>
  <c r="O452" i="11"/>
  <c r="O451" i="11"/>
  <c r="O450" i="11"/>
  <c r="O449" i="11"/>
  <c r="O448" i="11"/>
  <c r="O447" i="11"/>
  <c r="O446" i="11"/>
  <c r="O445" i="11"/>
  <c r="O444" i="11"/>
  <c r="O443" i="11"/>
  <c r="O442" i="11"/>
  <c r="O441" i="11"/>
  <c r="O440" i="11"/>
  <c r="O439" i="11"/>
  <c r="O438" i="11"/>
  <c r="O437" i="11"/>
  <c r="O436" i="11"/>
  <c r="O435" i="11"/>
  <c r="O434" i="11"/>
  <c r="O433" i="11"/>
  <c r="O432" i="11"/>
  <c r="O431" i="11"/>
  <c r="O430" i="11"/>
  <c r="O429" i="11"/>
  <c r="O428" i="11"/>
  <c r="O427" i="11"/>
  <c r="O426" i="11"/>
  <c r="O425" i="11"/>
  <c r="O424" i="11"/>
  <c r="O423" i="11"/>
  <c r="O422" i="11"/>
  <c r="O421" i="11"/>
  <c r="O420" i="11"/>
  <c r="O419" i="11"/>
  <c r="O418" i="11"/>
  <c r="O417" i="11"/>
  <c r="O416" i="11"/>
  <c r="O415" i="11"/>
  <c r="O414" i="11"/>
  <c r="O413" i="11"/>
  <c r="O412" i="11"/>
  <c r="O411" i="11"/>
  <c r="O410" i="11"/>
  <c r="O409" i="11"/>
  <c r="O408" i="11"/>
  <c r="O407" i="11"/>
  <c r="O406" i="11"/>
  <c r="O405" i="11"/>
  <c r="O404" i="11"/>
  <c r="O403" i="11"/>
  <c r="O402" i="11"/>
  <c r="O401" i="11"/>
  <c r="O400" i="11"/>
  <c r="O399" i="11"/>
  <c r="O398" i="11"/>
  <c r="O397" i="11"/>
  <c r="O396" i="11"/>
  <c r="O395" i="11"/>
  <c r="O394" i="11"/>
  <c r="O393" i="11"/>
  <c r="O392" i="11"/>
  <c r="O391" i="11"/>
  <c r="O390" i="11"/>
  <c r="O389" i="11"/>
  <c r="O388" i="11"/>
  <c r="O387" i="11"/>
  <c r="O386" i="11"/>
  <c r="O385" i="11"/>
  <c r="O384" i="11"/>
  <c r="O383" i="11"/>
  <c r="O382" i="11"/>
  <c r="O381" i="11"/>
  <c r="O380" i="11"/>
  <c r="O379" i="11"/>
  <c r="O378" i="11"/>
  <c r="O377" i="11"/>
  <c r="O376" i="11"/>
  <c r="O375" i="11"/>
  <c r="O374" i="11"/>
  <c r="O373" i="11"/>
  <c r="O372" i="11"/>
  <c r="O371" i="11"/>
  <c r="O370" i="11"/>
  <c r="O369" i="11"/>
  <c r="O368" i="11"/>
  <c r="O367" i="11"/>
  <c r="O366" i="11"/>
  <c r="O365" i="11"/>
  <c r="O364" i="11"/>
  <c r="O363" i="11"/>
  <c r="O362" i="11"/>
  <c r="O361" i="11"/>
  <c r="O360" i="11"/>
  <c r="O359" i="11"/>
  <c r="O358" i="11"/>
  <c r="O357" i="11"/>
  <c r="O356" i="11"/>
  <c r="O355" i="11"/>
  <c r="O354" i="11"/>
  <c r="O353" i="11"/>
  <c r="O352" i="11"/>
  <c r="O351" i="11"/>
  <c r="O350" i="11"/>
  <c r="O349" i="11"/>
  <c r="O348" i="11"/>
  <c r="O347" i="11"/>
  <c r="O346" i="11"/>
  <c r="O345" i="11"/>
  <c r="O344" i="11"/>
  <c r="O343" i="11"/>
  <c r="O342" i="11"/>
  <c r="O341" i="11"/>
  <c r="O340" i="11"/>
  <c r="O339" i="11"/>
  <c r="O338" i="11"/>
  <c r="O337" i="11"/>
  <c r="O336" i="11"/>
  <c r="O335" i="11"/>
  <c r="O334" i="11"/>
  <c r="O333" i="11"/>
  <c r="O332" i="11"/>
  <c r="O331" i="11"/>
  <c r="O330" i="11"/>
  <c r="O329" i="11"/>
  <c r="O328" i="11"/>
  <c r="O327" i="11"/>
  <c r="O326" i="11"/>
  <c r="O325" i="11"/>
  <c r="O324" i="11"/>
  <c r="O323" i="11"/>
  <c r="O322" i="11"/>
  <c r="O321" i="11"/>
  <c r="O320" i="11"/>
  <c r="O319" i="11"/>
  <c r="O318" i="11"/>
  <c r="O317" i="11"/>
  <c r="O316" i="11"/>
  <c r="O315" i="11"/>
  <c r="O314" i="11"/>
  <c r="O313" i="11"/>
  <c r="O312" i="11"/>
  <c r="O311" i="11"/>
  <c r="O310" i="11"/>
  <c r="O309" i="11"/>
  <c r="O308" i="11"/>
  <c r="O307" i="11"/>
  <c r="O306" i="11"/>
  <c r="O305" i="11"/>
  <c r="O304" i="11"/>
  <c r="O303" i="11"/>
  <c r="O302" i="11"/>
  <c r="O301" i="11"/>
  <c r="O300" i="11"/>
  <c r="O299" i="11"/>
  <c r="O298" i="11"/>
  <c r="O297" i="11"/>
  <c r="O296" i="11"/>
  <c r="O295" i="11"/>
  <c r="O294" i="11"/>
  <c r="O293" i="11"/>
  <c r="O292" i="11"/>
  <c r="O291" i="11"/>
  <c r="O290" i="11"/>
  <c r="O289" i="11"/>
  <c r="O288" i="11"/>
  <c r="O287" i="11"/>
  <c r="O286" i="11"/>
  <c r="O285" i="11"/>
  <c r="O284" i="11"/>
  <c r="O283" i="11"/>
  <c r="O282" i="11"/>
  <c r="O281" i="11"/>
  <c r="O280" i="11"/>
  <c r="O279" i="11"/>
  <c r="O278" i="11"/>
  <c r="O277" i="11"/>
  <c r="O276" i="11"/>
  <c r="O275" i="11"/>
  <c r="O274" i="11"/>
  <c r="O273" i="11"/>
  <c r="O272" i="11"/>
  <c r="O271" i="11"/>
  <c r="O270" i="11"/>
  <c r="O269" i="11"/>
  <c r="O268" i="11"/>
  <c r="O267" i="11"/>
  <c r="O266" i="11"/>
  <c r="O265" i="11"/>
  <c r="O264" i="11"/>
  <c r="O263" i="11"/>
  <c r="O262" i="11"/>
  <c r="O261" i="11"/>
  <c r="O260" i="11"/>
  <c r="O259" i="11"/>
  <c r="O258" i="11"/>
  <c r="O257" i="11"/>
  <c r="O256" i="11"/>
  <c r="O255" i="11"/>
  <c r="O254" i="11"/>
  <c r="O253" i="11"/>
  <c r="O252" i="11"/>
  <c r="O251" i="11"/>
  <c r="O250" i="11"/>
  <c r="O249" i="11"/>
  <c r="O248" i="11"/>
  <c r="O247" i="11"/>
  <c r="O246" i="11"/>
  <c r="O245" i="11"/>
  <c r="O244" i="11"/>
  <c r="O243" i="11"/>
  <c r="O242" i="11"/>
  <c r="O241" i="11"/>
  <c r="O240" i="11"/>
  <c r="O239" i="11"/>
  <c r="O238" i="11"/>
  <c r="O237" i="11"/>
  <c r="O236" i="11"/>
  <c r="O235" i="11"/>
  <c r="O234" i="11"/>
  <c r="O233" i="11"/>
  <c r="O232" i="11"/>
  <c r="O231" i="11"/>
  <c r="O230" i="11"/>
  <c r="O229" i="11"/>
  <c r="O228" i="11"/>
  <c r="O227" i="11"/>
  <c r="O226" i="11"/>
  <c r="O225" i="11"/>
  <c r="O224" i="11"/>
  <c r="O223" i="11"/>
  <c r="O222" i="11"/>
  <c r="O221" i="11"/>
  <c r="O220" i="11"/>
  <c r="O219" i="11"/>
  <c r="O218" i="11"/>
  <c r="O217" i="11"/>
  <c r="O216" i="11"/>
  <c r="O215" i="11"/>
  <c r="O214" i="11"/>
  <c r="O213" i="11"/>
  <c r="O212" i="11"/>
  <c r="O211" i="11"/>
  <c r="O210" i="11"/>
  <c r="O209" i="11"/>
  <c r="O208" i="11"/>
  <c r="O207" i="11"/>
  <c r="O206" i="11"/>
  <c r="O205" i="11"/>
  <c r="O204" i="11"/>
  <c r="O203" i="11"/>
  <c r="O202" i="11"/>
  <c r="O201" i="11"/>
  <c r="O200" i="11"/>
  <c r="O199" i="11"/>
  <c r="O198" i="11"/>
  <c r="O197" i="11"/>
  <c r="O196" i="11"/>
  <c r="O195" i="11"/>
  <c r="O194" i="11"/>
  <c r="O193" i="11"/>
  <c r="O192" i="11"/>
  <c r="O191" i="11"/>
  <c r="O190" i="11"/>
  <c r="O189" i="11"/>
  <c r="O188" i="11"/>
  <c r="O187" i="11"/>
  <c r="O186" i="11"/>
  <c r="O185" i="11"/>
  <c r="O184" i="11"/>
  <c r="O183" i="11"/>
  <c r="O182" i="11"/>
  <c r="O181" i="11"/>
  <c r="O180" i="11"/>
  <c r="O179" i="11"/>
  <c r="O178" i="11"/>
  <c r="O177" i="11"/>
  <c r="O176" i="11"/>
  <c r="O175" i="11"/>
  <c r="O174" i="11"/>
  <c r="O173" i="11"/>
  <c r="O172" i="11"/>
  <c r="O171" i="11"/>
  <c r="O170" i="11"/>
  <c r="O169" i="11"/>
  <c r="O168" i="11"/>
  <c r="O167" i="11"/>
  <c r="O166" i="11"/>
  <c r="O165" i="11"/>
  <c r="O164" i="11"/>
  <c r="O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O5" i="11"/>
  <c r="O4" i="11"/>
  <c r="O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3" i="9"/>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3" i="6"/>
  <c r="D18" i="15" l="1"/>
  <c r="C18" i="15" s="1"/>
  <c r="D64" i="2" s="1"/>
  <c r="D51" i="2" s="1"/>
  <c r="D13" i="15"/>
  <c r="F56" i="2"/>
  <c r="F53" i="2"/>
  <c r="F54" i="2"/>
  <c r="C13" i="15"/>
  <c r="D19" i="15"/>
  <c r="C19" i="15" s="1"/>
  <c r="D65" i="2" s="1"/>
  <c r="D52" i="2" s="1"/>
  <c r="F57" i="2"/>
  <c r="H62" i="2"/>
  <c r="L57" i="2"/>
  <c r="L52" i="2"/>
  <c r="L53" i="2"/>
  <c r="L51" i="2"/>
  <c r="L56" i="2"/>
  <c r="L54" i="2"/>
  <c r="L55" i="2"/>
  <c r="J25" i="15"/>
  <c r="H71" i="2"/>
  <c r="F55" i="2"/>
  <c r="F52" i="2"/>
  <c r="J56" i="2"/>
  <c r="J57" i="2"/>
  <c r="J51" i="2"/>
  <c r="J54" i="2"/>
  <c r="J53" i="2"/>
  <c r="J55" i="2"/>
  <c r="J52" i="2"/>
  <c r="F59" i="2"/>
  <c r="E64" i="2"/>
  <c r="E65" i="2"/>
  <c r="E70" i="2"/>
  <c r="E69" i="2"/>
  <c r="E68" i="2"/>
  <c r="E67" i="2"/>
  <c r="E66" i="2"/>
  <c r="F96" i="2"/>
  <c r="F101" i="2"/>
  <c r="J96" i="2"/>
  <c r="F99" i="2"/>
  <c r="F98" i="2"/>
  <c r="E95" i="2"/>
  <c r="F102" i="2"/>
  <c r="J100" i="2"/>
  <c r="N98" i="2"/>
  <c r="K23" i="4"/>
  <c r="I23" i="4"/>
  <c r="J101" i="2"/>
  <c r="J98" i="2"/>
  <c r="J102" i="2"/>
  <c r="I95" i="2"/>
  <c r="P95" i="2"/>
  <c r="P99" i="2" s="1"/>
  <c r="N101" i="2"/>
  <c r="H96" i="2"/>
  <c r="G95" i="2"/>
  <c r="P62" i="2"/>
  <c r="H100" i="2"/>
  <c r="N96" i="2"/>
  <c r="N55" i="2"/>
  <c r="N57" i="2"/>
  <c r="N56" i="2"/>
  <c r="N54" i="2"/>
  <c r="N53" i="2"/>
  <c r="N51" i="2"/>
  <c r="N52" i="2"/>
  <c r="H102" i="2"/>
  <c r="N102" i="2"/>
  <c r="H98" i="2"/>
  <c r="N100" i="2"/>
  <c r="N99" i="2"/>
  <c r="H101" i="2"/>
  <c r="L99" i="2"/>
  <c r="L98" i="2"/>
  <c r="L101" i="2"/>
  <c r="K95" i="2"/>
  <c r="L100" i="2"/>
  <c r="L96" i="2"/>
  <c r="N59" i="2"/>
  <c r="N60" i="2" s="1"/>
  <c r="S25" i="15"/>
  <c r="V25" i="15"/>
  <c r="P71" i="2"/>
  <c r="G23" i="4"/>
  <c r="E23" i="4"/>
  <c r="E14" i="4"/>
  <c r="G14" i="4"/>
  <c r="I14" i="4"/>
  <c r="K14" i="4"/>
  <c r="K11" i="4"/>
  <c r="K10" i="4"/>
  <c r="I11" i="4"/>
  <c r="I10" i="4"/>
  <c r="G11" i="4"/>
  <c r="G10" i="4"/>
  <c r="E11" i="4"/>
  <c r="E10" i="4"/>
  <c r="C25" i="15" l="1"/>
  <c r="D71" i="2" s="1"/>
  <c r="D59" i="2" s="1"/>
  <c r="H59" i="2"/>
  <c r="H60" i="2" s="1"/>
  <c r="G67" i="2"/>
  <c r="G68" i="2"/>
  <c r="G69" i="2"/>
  <c r="G66" i="2"/>
  <c r="G70" i="2"/>
  <c r="H55" i="2"/>
  <c r="H52" i="2"/>
  <c r="H53" i="2"/>
  <c r="H51" i="2"/>
  <c r="H54" i="2"/>
  <c r="H56" i="2"/>
  <c r="H57" i="2"/>
  <c r="G65" i="2"/>
  <c r="G64" i="2"/>
  <c r="D25" i="15"/>
  <c r="F60" i="2"/>
  <c r="E60" i="2"/>
  <c r="F107" i="2"/>
  <c r="P100" i="2"/>
  <c r="D100" i="2" s="1"/>
  <c r="O95" i="2"/>
  <c r="P98" i="2"/>
  <c r="D98" i="2" s="1"/>
  <c r="P101" i="2"/>
  <c r="D101" i="2" s="1"/>
  <c r="P102" i="2"/>
  <c r="D102" i="2" s="1"/>
  <c r="P96" i="2"/>
  <c r="D96" i="2" s="1"/>
  <c r="P52" i="2"/>
  <c r="P51" i="2"/>
  <c r="P57" i="2"/>
  <c r="P53" i="2"/>
  <c r="P54" i="2"/>
  <c r="P55" i="2"/>
  <c r="P56" i="2"/>
  <c r="D99" i="2"/>
  <c r="P59" i="2"/>
  <c r="P60" i="2" s="1"/>
  <c r="D8" i="1"/>
  <c r="G33" i="4"/>
  <c r="G24" i="4"/>
  <c r="G31" i="4"/>
  <c r="I24" i="4"/>
  <c r="I31" i="4"/>
  <c r="K24" i="4"/>
  <c r="E32" i="4"/>
  <c r="E24" i="4"/>
  <c r="G34" i="4"/>
  <c r="I33" i="4"/>
  <c r="I32" i="4"/>
  <c r="I34" i="4"/>
  <c r="K32" i="4"/>
  <c r="K33" i="4"/>
  <c r="K34" i="4"/>
  <c r="E31" i="4"/>
  <c r="E33" i="4"/>
  <c r="E34" i="4"/>
  <c r="G32" i="4"/>
  <c r="H66" i="1"/>
  <c r="H65" i="1"/>
  <c r="F66" i="1"/>
  <c r="F65" i="1"/>
  <c r="H63" i="1"/>
  <c r="F63" i="1"/>
  <c r="H59" i="1"/>
  <c r="F59" i="1"/>
  <c r="E63" i="1" l="1"/>
  <c r="D67" i="1"/>
  <c r="K37" i="3"/>
  <c r="G63" i="1"/>
  <c r="D103" i="2"/>
  <c r="D105" i="2" s="1"/>
  <c r="D79" i="1"/>
  <c r="D82" i="1" s="1"/>
  <c r="D4" i="1" s="1"/>
  <c r="F67" i="1"/>
  <c r="F69" i="1" s="1"/>
  <c r="H67" i="1"/>
  <c r="H69" i="1" s="1"/>
  <c r="K9" i="4"/>
  <c r="K57" i="4" s="1"/>
  <c r="K59" i="4" s="1"/>
  <c r="I9" i="4"/>
  <c r="I57" i="4" s="1"/>
  <c r="G9" i="4"/>
  <c r="G57" i="4" s="1"/>
  <c r="E9" i="4"/>
  <c r="E57" i="4" s="1"/>
  <c r="K4" i="4"/>
  <c r="I4" i="4"/>
  <c r="G4" i="4"/>
  <c r="E12" i="4"/>
  <c r="K7" i="4"/>
  <c r="I7" i="4"/>
  <c r="G7" i="4"/>
  <c r="E7" i="4"/>
  <c r="K8" i="4"/>
  <c r="I8" i="4"/>
  <c r="G8" i="4"/>
  <c r="E8" i="4"/>
  <c r="K5" i="4"/>
  <c r="K13" i="4" s="1"/>
  <c r="I5" i="4"/>
  <c r="I13" i="4" s="1"/>
  <c r="G5" i="4"/>
  <c r="G13" i="4" s="1"/>
  <c r="E5" i="4"/>
  <c r="E13" i="4" s="1"/>
  <c r="K3" i="4"/>
  <c r="I3" i="4"/>
  <c r="G3" i="4"/>
  <c r="E3" i="4"/>
  <c r="K12" i="4" l="1"/>
  <c r="I39" i="4" s="1"/>
  <c r="I58" i="4"/>
  <c r="I59" i="4" s="1"/>
  <c r="G12" i="4"/>
  <c r="E39" i="4" s="1"/>
  <c r="E58" i="4"/>
  <c r="E59" i="4" s="1"/>
  <c r="I12" i="4"/>
  <c r="G39" i="4" s="1"/>
  <c r="G58" i="4"/>
  <c r="G59" i="4" s="1"/>
  <c r="G6" i="4"/>
  <c r="I6" i="4"/>
  <c r="K6" i="4"/>
  <c r="E6" i="4"/>
  <c r="C63" i="1"/>
  <c r="D59" i="1" s="1"/>
  <c r="D63" i="1" s="1"/>
  <c r="G66" i="1"/>
  <c r="C95" i="2"/>
  <c r="G65" i="1"/>
  <c r="E65" i="1"/>
  <c r="E66" i="1"/>
  <c r="D42" i="2"/>
  <c r="K49" i="4"/>
  <c r="K48" i="4"/>
  <c r="K47" i="4"/>
  <c r="I46" i="4"/>
  <c r="E46" i="4"/>
  <c r="G47" i="4"/>
  <c r="G48" i="4"/>
  <c r="G49" i="4"/>
  <c r="I49" i="4"/>
  <c r="I48" i="4"/>
  <c r="I47" i="4"/>
  <c r="G46" i="4"/>
  <c r="E48" i="4"/>
  <c r="E49" i="4"/>
  <c r="E47" i="4"/>
  <c r="G41" i="4"/>
  <c r="G42" i="4"/>
  <c r="G40" i="4"/>
  <c r="E41" i="4"/>
  <c r="E40" i="4"/>
  <c r="E42" i="4"/>
  <c r="G65" i="4"/>
  <c r="G73" i="4"/>
  <c r="E65" i="4"/>
  <c r="E62" i="4"/>
  <c r="E25" i="4" s="1"/>
  <c r="I65" i="4"/>
  <c r="K69" i="4"/>
  <c r="G62" i="4"/>
  <c r="G25" i="4" s="1"/>
  <c r="G54" i="4" s="1"/>
  <c r="I73" i="4"/>
  <c r="G67" i="4"/>
  <c r="I67" i="4"/>
  <c r="K67" i="4"/>
  <c r="E73" i="4"/>
  <c r="G69" i="4"/>
  <c r="I71" i="4"/>
  <c r="K71" i="4"/>
  <c r="K62" i="4"/>
  <c r="K25" i="4" s="1"/>
  <c r="K54" i="4" s="1"/>
  <c r="K73" i="4"/>
  <c r="E71" i="4"/>
  <c r="E67" i="4"/>
  <c r="E69" i="4"/>
  <c r="I62" i="4"/>
  <c r="I25" i="4" s="1"/>
  <c r="I54" i="4" s="1"/>
  <c r="G71" i="4"/>
  <c r="I69" i="4"/>
  <c r="K65" i="4"/>
  <c r="K40" i="4" l="1"/>
  <c r="I42" i="4"/>
  <c r="I41" i="4"/>
  <c r="K41" i="4"/>
  <c r="K42" i="4"/>
  <c r="I40" i="4"/>
  <c r="E35" i="4"/>
  <c r="E50" i="4" s="1"/>
  <c r="E54" i="4"/>
  <c r="C66" i="1"/>
  <c r="D66" i="1" s="1"/>
  <c r="D58" i="1" s="1"/>
  <c r="D62" i="1" s="1"/>
  <c r="C65" i="1"/>
  <c r="D65" i="1" s="1"/>
  <c r="I36" i="4"/>
  <c r="I51" i="4" s="1"/>
  <c r="I35" i="4"/>
  <c r="I50" i="4" s="1"/>
  <c r="G36" i="4"/>
  <c r="G51" i="4" s="1"/>
  <c r="G35" i="4"/>
  <c r="G50" i="4" s="1"/>
  <c r="K36" i="4"/>
  <c r="K51" i="4" s="1"/>
  <c r="K35" i="4"/>
  <c r="K50" i="4" s="1"/>
  <c r="E36" i="4"/>
  <c r="E51" i="4" s="1"/>
  <c r="G63" i="4"/>
  <c r="G26" i="4" s="1"/>
  <c r="E63" i="4"/>
  <c r="E26" i="4" s="1"/>
  <c r="K63" i="4"/>
  <c r="K26" i="4" s="1"/>
  <c r="I63" i="4"/>
  <c r="I26" i="4" s="1"/>
  <c r="G44" i="1"/>
  <c r="I43" i="4" l="1"/>
  <c r="G43" i="4"/>
  <c r="K43" i="4"/>
  <c r="E43" i="4"/>
  <c r="D57" i="1"/>
  <c r="D61" i="1" s="1"/>
  <c r="F54" i="1"/>
  <c r="E44" i="1"/>
  <c r="C44" i="1" s="1"/>
  <c r="G51" i="1"/>
  <c r="E50" i="1"/>
  <c r="G48" i="1"/>
  <c r="E49" i="1"/>
  <c r="E48" i="1"/>
  <c r="E47" i="1"/>
  <c r="E46" i="1"/>
  <c r="E45" i="1"/>
  <c r="G45" i="1"/>
  <c r="G46" i="1"/>
  <c r="G47" i="1"/>
  <c r="H54" i="1"/>
  <c r="E51" i="1"/>
  <c r="C51" i="1" s="1"/>
  <c r="D51" i="1" s="1"/>
  <c r="D142" i="1" s="1"/>
  <c r="K57" i="3" s="1"/>
  <c r="G49" i="1"/>
  <c r="G50" i="1"/>
  <c r="L11" i="2"/>
  <c r="J11" i="2"/>
  <c r="L9" i="1"/>
  <c r="K9" i="1" s="1"/>
  <c r="L23" i="1"/>
  <c r="J9" i="1"/>
  <c r="J23" i="1"/>
  <c r="I11" i="2" l="1"/>
  <c r="G11" i="2"/>
  <c r="K11" i="2"/>
  <c r="K23" i="1"/>
  <c r="G23" i="1"/>
  <c r="I23" i="1"/>
  <c r="I9" i="1"/>
  <c r="G9" i="1"/>
  <c r="C47" i="1"/>
  <c r="D47" i="1" s="1"/>
  <c r="D111" i="1" s="1"/>
  <c r="C48" i="1"/>
  <c r="D48" i="1" s="1"/>
  <c r="C49" i="1"/>
  <c r="D49" i="1" s="1"/>
  <c r="C45" i="1"/>
  <c r="D45" i="1" s="1"/>
  <c r="C46" i="1"/>
  <c r="D46" i="1" s="1"/>
  <c r="D117" i="1" s="1"/>
  <c r="D118" i="1" s="1"/>
  <c r="C50" i="1"/>
  <c r="D50" i="1" s="1"/>
  <c r="C9" i="1" l="1"/>
  <c r="D9" i="1" s="1"/>
  <c r="D112" i="1"/>
  <c r="D109" i="1"/>
  <c r="D110" i="1"/>
  <c r="D108" i="1"/>
  <c r="C11" i="2" a="1"/>
  <c r="C11" i="2" s="1"/>
  <c r="C23" i="1"/>
  <c r="D23" i="1" s="1"/>
  <c r="K45" i="3" s="1"/>
  <c r="D11" i="2" l="1"/>
  <c r="D15" i="2" s="1"/>
  <c r="D14" i="1"/>
  <c r="D25" i="1" s="1"/>
  <c r="D24" i="1" s="1"/>
  <c r="K59" i="3"/>
  <c r="D58" i="2"/>
  <c r="D60" i="2" s="1"/>
  <c r="C3" i="4" l="1"/>
  <c r="D17" i="1"/>
  <c r="K42" i="3" s="1"/>
  <c r="D18" i="1"/>
  <c r="D34" i="1"/>
  <c r="C4" i="4"/>
  <c r="C12" i="4" s="1"/>
  <c r="G88" i="2"/>
  <c r="K43" i="3" l="1"/>
  <c r="K46" i="3" s="1"/>
  <c r="C101" i="17"/>
  <c r="C91" i="17" s="1"/>
  <c r="C95" i="17" s="1"/>
  <c r="D4" i="2" s="1"/>
  <c r="D141" i="2" s="1"/>
  <c r="D32" i="1"/>
  <c r="D31" i="1"/>
  <c r="D33" i="1"/>
  <c r="C73" i="4"/>
  <c r="D41" i="2"/>
  <c r="D45" i="2" s="1"/>
  <c r="D3" i="2" s="1"/>
  <c r="D139" i="2" l="1"/>
  <c r="D136" i="2"/>
  <c r="D135" i="2"/>
  <c r="D140" i="2"/>
  <c r="D138" i="2"/>
  <c r="K6" i="3" s="1"/>
  <c r="K7" i="3" s="1"/>
  <c r="D137" i="2"/>
  <c r="D5" i="2"/>
  <c r="D16" i="2" s="1"/>
  <c r="D24" i="2" s="1"/>
  <c r="C5" i="4"/>
  <c r="C71" i="4" l="1"/>
  <c r="C13" i="4"/>
  <c r="D26" i="2"/>
  <c r="D27" i="2" s="1"/>
  <c r="K49" i="3" s="1"/>
  <c r="C7" i="4"/>
  <c r="C69" i="4" l="1"/>
  <c r="C6" i="4"/>
  <c r="C8" i="4"/>
  <c r="C67" i="4" s="1"/>
  <c r="D28" i="2"/>
  <c r="K3" i="3"/>
  <c r="K8" i="3" s="1"/>
  <c r="K31" i="3" s="1"/>
  <c r="D32" i="2" l="1"/>
  <c r="D31" i="2"/>
  <c r="D116" i="1"/>
  <c r="D115" i="1"/>
  <c r="D114" i="1"/>
  <c r="D36" i="2" l="1"/>
  <c r="D33" i="2"/>
  <c r="C11" i="4" l="1"/>
  <c r="D37" i="2"/>
  <c r="D39" i="2"/>
  <c r="K71" i="3" s="1"/>
  <c r="K72" i="3" s="1"/>
  <c r="C9" i="4"/>
  <c r="C57" i="4" s="1"/>
  <c r="C59" i="4" s="1"/>
  <c r="C65" i="4" l="1"/>
  <c r="C63" i="4" s="1"/>
  <c r="C26" i="4" s="1"/>
  <c r="C62" i="4"/>
  <c r="C14" i="4"/>
  <c r="C24" i="4" l="1"/>
  <c r="C25" i="4" l="1"/>
  <c r="C43" i="4" s="1"/>
  <c r="C54" i="4" l="1"/>
  <c r="C35" i="4"/>
  <c r="C50" i="4" s="1"/>
  <c r="C36" i="4"/>
  <c r="C51" i="4" s="1"/>
  <c r="D123" i="1"/>
  <c r="D121" i="1" s="1"/>
  <c r="D129" i="1" s="1"/>
  <c r="D124" i="1" l="1"/>
  <c r="D120" i="1"/>
  <c r="D135" i="1" s="1"/>
  <c r="D122" i="1"/>
  <c r="D140" i="1" s="1"/>
  <c r="D144" i="1" l="1"/>
  <c r="D145" i="1" s="1"/>
  <c r="K54" i="3"/>
  <c r="K35" i="3"/>
  <c r="K39" i="3" s="1"/>
  <c r="K47" i="3" s="1"/>
  <c r="K50" i="3" s="1"/>
  <c r="K53" i="3"/>
  <c r="K63" i="3" s="1"/>
  <c r="K74" i="3" l="1"/>
  <c r="K7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A7" authorId="0" shapeId="0" xr:uid="{A19E5C3A-3396-4043-BDAB-E0A1136356C0}">
      <text>
        <r>
          <rPr>
            <b/>
            <sz val="9"/>
            <color indexed="81"/>
            <rFont val="Tahoma"/>
            <family val="2"/>
          </rPr>
          <t>MSi:</t>
        </r>
        <r>
          <rPr>
            <sz val="9"/>
            <color indexed="81"/>
            <rFont val="Tahoma"/>
            <family val="2"/>
          </rPr>
          <t xml:space="preserve">
Profit before Privision and Taxes is used as opposed to EBIT for banks</t>
        </r>
      </text>
    </comment>
    <comment ref="C22" authorId="0" shapeId="0" xr:uid="{7FD23EAA-946A-4F4E-8E46-E72A459315B7}">
      <text>
        <r>
          <rPr>
            <b/>
            <sz val="9"/>
            <color indexed="81"/>
            <rFont val="Tahoma"/>
            <family val="2"/>
          </rPr>
          <t>MSi:</t>
        </r>
        <r>
          <rPr>
            <sz val="9"/>
            <color indexed="81"/>
            <rFont val="Tahoma"/>
            <family val="2"/>
          </rPr>
          <t xml:space="preserve">
The calculated CAGR is only the price return, not total return. Estimated Dividend Yield (5%) is further added.</t>
        </r>
      </text>
    </comment>
    <comment ref="C54" authorId="0" shapeId="0" xr:uid="{50A5BF77-CD98-4031-ADA1-24B8D7EA900C}">
      <text>
        <r>
          <rPr>
            <b/>
            <sz val="9"/>
            <color indexed="81"/>
            <rFont val="Tahoma"/>
            <charset val="1"/>
          </rPr>
          <t>MSi:</t>
        </r>
        <r>
          <rPr>
            <sz val="9"/>
            <color indexed="81"/>
            <rFont val="Tahoma"/>
            <charset val="1"/>
          </rPr>
          <t xml:space="preserve">
This number is significantly than the actual price because of high required return on Equity which is based on KSE100's recent performance.</t>
        </r>
      </text>
    </comment>
    <comment ref="C59" authorId="0" shapeId="0" xr:uid="{CCA65568-806D-44AA-B1BC-264CB077DE56}">
      <text>
        <r>
          <rPr>
            <b/>
            <sz val="9"/>
            <color indexed="81"/>
            <rFont val="Tahoma"/>
            <charset val="1"/>
          </rPr>
          <t>MSi:</t>
        </r>
        <r>
          <rPr>
            <sz val="9"/>
            <color indexed="81"/>
            <rFont val="Tahoma"/>
            <charset val="1"/>
          </rPr>
          <t xml:space="preserve">
Because, KSE100 has performed exceptionally in last two years, the required return on equity is very high, leading to a negative figure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D4" authorId="0" shapeId="0" xr:uid="{6816AFD0-8607-460A-AD65-F42D96358D6B}">
      <text>
        <r>
          <rPr>
            <b/>
            <sz val="9"/>
            <color indexed="81"/>
            <rFont val="Tahoma"/>
            <charset val="1"/>
          </rPr>
          <t>MSi:</t>
        </r>
        <r>
          <rPr>
            <sz val="9"/>
            <color indexed="81"/>
            <rFont val="Tahoma"/>
            <charset val="1"/>
          </rPr>
          <t xml:space="preserve">
Apart from Advances, all of the monetary assets are calculated as a proportion of deposits based on previous years. </t>
        </r>
      </text>
    </comment>
    <comment ref="D7" authorId="0" shapeId="0" xr:uid="{DFB49D93-1CCB-44D6-AF6A-26B9CA53BFC2}">
      <text>
        <r>
          <rPr>
            <b/>
            <sz val="9"/>
            <color indexed="81"/>
            <rFont val="Tahoma"/>
            <charset val="1"/>
          </rPr>
          <t>MSi:</t>
        </r>
        <r>
          <rPr>
            <sz val="9"/>
            <color indexed="81"/>
            <rFont val="Tahoma"/>
            <charset val="1"/>
          </rPr>
          <t xml:space="preserve">
The proportion of investment to Deposits was estimated based on the movement of Policy Rate.</t>
        </r>
      </text>
    </comment>
    <comment ref="D8" authorId="0" shapeId="0" xr:uid="{AB76B8F6-293C-432C-ABE8-72A6105C266E}">
      <text>
        <r>
          <rPr>
            <b/>
            <sz val="9"/>
            <color indexed="81"/>
            <rFont val="Tahoma"/>
            <charset val="1"/>
          </rPr>
          <t>MSi:</t>
        </r>
        <r>
          <rPr>
            <sz val="9"/>
            <color indexed="81"/>
            <rFont val="Tahoma"/>
            <charset val="1"/>
          </rPr>
          <t xml:space="preserve">
These numbers are coming from National Advances tab. It was calculated by assuming that HBL's proportion of lending to the National. For 2025, the National Lending was calculated by average of National Lending Growth Rate.</t>
        </r>
      </text>
    </comment>
    <comment ref="D9" authorId="0" shapeId="0" xr:uid="{DC04AD34-2182-4664-8D7C-0BDBE4943CBB}">
      <text>
        <r>
          <rPr>
            <b/>
            <sz val="9"/>
            <color indexed="81"/>
            <rFont val="Tahoma"/>
            <charset val="1"/>
          </rPr>
          <t>MSi:</t>
        </r>
        <r>
          <rPr>
            <sz val="9"/>
            <color indexed="81"/>
            <rFont val="Tahoma"/>
            <charset val="1"/>
          </rPr>
          <t xml:space="preserve">
Property and equipment, Right-of-use assets, Intangible assets, and other assets figures are calculated based on taking the average of YoY growth rate of the previous years</t>
        </r>
      </text>
    </comment>
    <comment ref="D17" authorId="0" shapeId="0" xr:uid="{E42B4D40-3315-4111-8967-89EC1395138E}">
      <text>
        <r>
          <rPr>
            <b/>
            <sz val="9"/>
            <color indexed="81"/>
            <rFont val="Tahoma"/>
            <charset val="1"/>
          </rPr>
          <t>MSi:</t>
        </r>
        <r>
          <rPr>
            <sz val="9"/>
            <color indexed="81"/>
            <rFont val="Tahoma"/>
            <charset val="1"/>
          </rPr>
          <t xml:space="preserve">
Bills and Borrowing are balancing figures. The amount is divided based on proportions of previous years.</t>
        </r>
      </text>
    </comment>
    <comment ref="D19" authorId="0" shapeId="0" xr:uid="{BAA01297-2FF9-48D8-B971-A9A00B9F8C1D}">
      <text>
        <r>
          <rPr>
            <b/>
            <sz val="9"/>
            <color indexed="81"/>
            <rFont val="Tahoma"/>
            <charset val="1"/>
          </rPr>
          <t>MSi:</t>
        </r>
        <r>
          <rPr>
            <sz val="9"/>
            <color indexed="81"/>
            <rFont val="Tahoma"/>
            <charset val="1"/>
          </rPr>
          <t xml:space="preserve">
These numbers are coming from National Deposit Tab and similar methodology of estimating HBL's proportion of deposit to National deposits is used.</t>
        </r>
      </text>
    </comment>
    <comment ref="D22" authorId="0" shapeId="0" xr:uid="{7C50B9A9-6AFB-4059-85A1-0B7C197C994B}">
      <text>
        <r>
          <rPr>
            <b/>
            <sz val="9"/>
            <color indexed="81"/>
            <rFont val="Tahoma"/>
            <charset val="1"/>
          </rPr>
          <t>MSi:</t>
        </r>
        <r>
          <rPr>
            <sz val="9"/>
            <color indexed="81"/>
            <rFont val="Tahoma"/>
            <charset val="1"/>
          </rPr>
          <t xml:space="preserve">
Assumed to same as last year</t>
        </r>
      </text>
    </comment>
    <comment ref="D31" authorId="0" shapeId="0" xr:uid="{AD42554F-EBB1-4EE2-872A-9F4D8665E755}">
      <text>
        <r>
          <rPr>
            <b/>
            <sz val="9"/>
            <color indexed="81"/>
            <rFont val="Tahoma"/>
            <charset val="1"/>
          </rPr>
          <t>MSi:</t>
        </r>
        <r>
          <rPr>
            <sz val="9"/>
            <color indexed="81"/>
            <rFont val="Tahoma"/>
            <charset val="1"/>
          </rPr>
          <t xml:space="preserve">
This is a balancing figure. Unappropriated Profit won't be simply Opening Balance + Profit for the year - Dividends Paid as there are adjustment in Other Comprehensive Income</t>
        </r>
      </text>
    </comment>
    <comment ref="D33" authorId="0" shapeId="0" xr:uid="{14DDC40F-14A7-43E3-A6AB-05B51CD5FD01}">
      <text>
        <r>
          <rPr>
            <b/>
            <sz val="9"/>
            <color indexed="81"/>
            <rFont val="Tahoma"/>
            <charset val="1"/>
          </rPr>
          <t>MSi:</t>
        </r>
        <r>
          <rPr>
            <sz val="9"/>
            <color indexed="81"/>
            <rFont val="Tahoma"/>
            <charset val="1"/>
          </rPr>
          <t xml:space="preserve">
This is calculated as an average of what Non-controlling Interest has been in proportion to Net Assets.</t>
        </r>
      </text>
    </comment>
    <comment ref="C39" authorId="0" shapeId="0" xr:uid="{A321A94D-CF4E-473B-9E60-EC9D650AFD45}">
      <text>
        <r>
          <rPr>
            <b/>
            <sz val="9"/>
            <color indexed="81"/>
            <rFont val="Tahoma"/>
            <charset val="1"/>
          </rPr>
          <t>MSi:</t>
        </r>
        <r>
          <rPr>
            <sz val="9"/>
            <color indexed="81"/>
            <rFont val="Tahoma"/>
            <charset val="1"/>
          </rPr>
          <t xml:space="preserve">
All of these percentages are averages of proportions of previous year except for those highlighted</t>
        </r>
      </text>
    </comment>
    <comment ref="C40" authorId="0" shapeId="0" xr:uid="{30C95BDE-F145-45D0-90E9-D79DE3119EFE}">
      <text>
        <r>
          <rPr>
            <b/>
            <sz val="9"/>
            <color indexed="81"/>
            <rFont val="Tahoma"/>
            <charset val="1"/>
          </rPr>
          <t>MSi:</t>
        </r>
        <r>
          <rPr>
            <sz val="9"/>
            <color indexed="81"/>
            <rFont val="Tahoma"/>
            <charset val="1"/>
          </rPr>
          <t xml:space="preserve">
As Policy Rate was expected to reduce this year, this would reduce the incentive to invest in Long-Term PIBs</t>
        </r>
      </text>
    </comment>
    <comment ref="C41" authorId="0" shapeId="0" xr:uid="{49A2AC5B-5056-482C-854D-AB829B0BFEF2}">
      <text>
        <r>
          <rPr>
            <b/>
            <sz val="9"/>
            <color indexed="81"/>
            <rFont val="Tahoma"/>
            <charset val="1"/>
          </rPr>
          <t>MSi:</t>
        </r>
        <r>
          <rPr>
            <sz val="9"/>
            <color indexed="81"/>
            <rFont val="Tahoma"/>
            <charset val="1"/>
          </rPr>
          <t xml:space="preserve">
There has been an increase in investment in Ijara Sukuk. I have kept it the same as last year.</t>
        </r>
      </text>
    </comment>
    <comment ref="C61" authorId="0" shapeId="0" xr:uid="{6A1DD411-F418-4ADB-B3B5-FA2D0A606BB8}">
      <text>
        <r>
          <rPr>
            <b/>
            <sz val="9"/>
            <color indexed="81"/>
            <rFont val="Tahoma"/>
            <charset val="1"/>
          </rPr>
          <t>MSi:</t>
        </r>
        <r>
          <rPr>
            <sz val="9"/>
            <color indexed="81"/>
            <rFont val="Tahoma"/>
            <charset val="1"/>
          </rPr>
          <t xml:space="preserve">
All these percentages are averages of proportions of past with more weight being given to recent numbers</t>
        </r>
      </text>
    </comment>
    <comment ref="D78" authorId="0" shapeId="0" xr:uid="{3946F670-3FFB-43AE-BD02-81B6D3A82978}">
      <text>
        <r>
          <rPr>
            <b/>
            <sz val="9"/>
            <color indexed="81"/>
            <rFont val="Tahoma"/>
            <charset val="1"/>
          </rPr>
          <t>MSi:</t>
        </r>
        <r>
          <rPr>
            <sz val="9"/>
            <color indexed="81"/>
            <rFont val="Tahoma"/>
            <charset val="1"/>
          </rPr>
          <t xml:space="preserve">
This number is purely an estimate. Policy Rate is expected to reduce in 2025 which would reduce the Bank's incentive to invest in securities</t>
        </r>
      </text>
    </comment>
    <comment ref="D82" authorId="0" shapeId="0" xr:uid="{34E2E9A0-6863-4D73-9E13-4226414A1322}">
      <text>
        <r>
          <rPr>
            <b/>
            <sz val="9"/>
            <color indexed="81"/>
            <rFont val="Tahoma"/>
            <charset val="1"/>
          </rPr>
          <t>MSi:</t>
        </r>
        <r>
          <rPr>
            <sz val="9"/>
            <color indexed="81"/>
            <rFont val="Tahoma"/>
            <charset val="1"/>
          </rPr>
          <t xml:space="preserve">
Balancing Figure</t>
        </r>
      </text>
    </comment>
    <comment ref="D83" authorId="0" shapeId="0" xr:uid="{DB13CB43-EFD7-4AE2-BA6A-E280AB38BC60}">
      <text>
        <r>
          <rPr>
            <b/>
            <sz val="9"/>
            <color indexed="81"/>
            <rFont val="Tahoma"/>
            <charset val="1"/>
          </rPr>
          <t>MSi:</t>
        </r>
        <r>
          <rPr>
            <sz val="9"/>
            <color indexed="81"/>
            <rFont val="Tahoma"/>
            <charset val="1"/>
          </rPr>
          <t xml:space="preserve">
This is calculated by taking an average of all the monetary assets to deposit ratio, giving more weight to the recent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C51" authorId="0" shapeId="0" xr:uid="{9DD0ED03-A47A-4B54-9C8C-8E4787EFCF99}">
      <text>
        <r>
          <rPr>
            <b/>
            <sz val="9"/>
            <color indexed="81"/>
            <rFont val="Tahoma"/>
            <charset val="1"/>
          </rPr>
          <t>MSi:</t>
        </r>
        <r>
          <rPr>
            <sz val="9"/>
            <color indexed="81"/>
            <rFont val="Tahoma"/>
            <charset val="1"/>
          </rPr>
          <t xml:space="preserve">
Loans are lend at different. These are purely estimated spreads based on the estimated riskiness of different loan categories</t>
        </r>
      </text>
    </comment>
    <comment ref="D60" authorId="0" shapeId="0" xr:uid="{B215A27B-B42B-4E51-9252-8BB180591B7D}">
      <text>
        <r>
          <rPr>
            <b/>
            <sz val="9"/>
            <color indexed="81"/>
            <rFont val="Tahoma"/>
            <charset val="1"/>
          </rPr>
          <t>MSi:</t>
        </r>
        <r>
          <rPr>
            <sz val="9"/>
            <color indexed="81"/>
            <rFont val="Tahoma"/>
            <charset val="1"/>
          </rPr>
          <t xml:space="preserve">
Surprisingly Yield on Advances is lower than Policy rate for the recent years. Maybe I am missing something here</t>
        </r>
      </text>
    </comment>
    <comment ref="D61" authorId="0" shapeId="0" xr:uid="{934E3339-CD9D-4579-B499-CC8FCC6792D1}">
      <text>
        <r>
          <rPr>
            <b/>
            <sz val="9"/>
            <color indexed="81"/>
            <rFont val="Tahoma"/>
            <charset val="1"/>
          </rPr>
          <t>MSi:</t>
        </r>
        <r>
          <rPr>
            <sz val="9"/>
            <color indexed="81"/>
            <rFont val="Tahoma"/>
            <charset val="1"/>
          </rPr>
          <t xml:space="preserve">
Estimated Policy rate for 2025</t>
        </r>
      </text>
    </comment>
    <comment ref="D62" authorId="0" shapeId="0" xr:uid="{D8EAED6A-6BE8-442C-89ED-3C14B3BAEDBD}">
      <text>
        <r>
          <rPr>
            <b/>
            <sz val="9"/>
            <color indexed="81"/>
            <rFont val="Tahoma"/>
            <charset val="1"/>
          </rPr>
          <t>MSi:</t>
        </r>
        <r>
          <rPr>
            <sz val="9"/>
            <color indexed="81"/>
            <rFont val="Tahoma"/>
            <charset val="1"/>
          </rPr>
          <t xml:space="preserve">
An estimated number based on past percentages</t>
        </r>
      </text>
    </comment>
    <comment ref="F62" authorId="0" shapeId="0" xr:uid="{986B4AF5-89E8-4E18-A33C-3068D1C62D7A}">
      <text>
        <r>
          <rPr>
            <b/>
            <sz val="9"/>
            <color indexed="81"/>
            <rFont val="Tahoma"/>
            <charset val="1"/>
          </rPr>
          <t>MSi:</t>
        </r>
        <r>
          <rPr>
            <sz val="9"/>
            <color indexed="81"/>
            <rFont val="Tahoma"/>
            <charset val="1"/>
          </rPr>
          <t xml:space="preserve">
This equation basically gives a base rate on top of which estimated spreads are added so that the income from individual loan category matches the total</t>
        </r>
      </text>
    </comment>
    <comment ref="D81" authorId="0" shapeId="0" xr:uid="{76B14E62-0EFF-40EA-916E-06AD83926051}">
      <text>
        <r>
          <rPr>
            <b/>
            <sz val="9"/>
            <color indexed="81"/>
            <rFont val="Tahoma"/>
            <charset val="1"/>
          </rPr>
          <t>MSi:</t>
        </r>
        <r>
          <rPr>
            <sz val="9"/>
            <color indexed="81"/>
            <rFont val="Tahoma"/>
            <charset val="1"/>
          </rPr>
          <t xml:space="preserve">
Averages of previous periods with more weight given to recent years</t>
        </r>
      </text>
    </comment>
    <comment ref="A83" authorId="0" shapeId="0" xr:uid="{8DAEA08D-4DD2-4717-8C0B-ABEDFF504836}">
      <text>
        <r>
          <rPr>
            <b/>
            <sz val="9"/>
            <color indexed="81"/>
            <rFont val="Tahoma"/>
            <charset val="1"/>
          </rPr>
          <t>MSi:</t>
        </r>
        <r>
          <rPr>
            <sz val="9"/>
            <color indexed="81"/>
            <rFont val="Tahoma"/>
            <charset val="1"/>
          </rPr>
          <t xml:space="preserve">
Treasury Bills don't pay coupons and are bought at a discount. This discount is treated as an income</t>
        </r>
      </text>
    </comment>
    <comment ref="D83" authorId="0" shapeId="0" xr:uid="{87664923-CC9F-4430-92BD-38B97E0C3AC4}">
      <text>
        <r>
          <rPr>
            <b/>
            <sz val="9"/>
            <color indexed="81"/>
            <rFont val="Tahoma"/>
            <charset val="1"/>
          </rPr>
          <t>MSi:</t>
        </r>
        <r>
          <rPr>
            <sz val="9"/>
            <color indexed="81"/>
            <rFont val="Tahoma"/>
            <charset val="1"/>
          </rPr>
          <t xml:space="preserve">
Changes in prices of treasury bills are subtracted from the total yield on treasury bills to calculate imputed interest</t>
        </r>
      </text>
    </comment>
    <comment ref="C84" authorId="0" shapeId="0" xr:uid="{01013ADF-9CB2-48C4-BD34-D511949185D3}">
      <text>
        <r>
          <rPr>
            <b/>
            <sz val="9"/>
            <color indexed="81"/>
            <rFont val="Tahoma"/>
            <family val="2"/>
          </rPr>
          <t>MSi:</t>
        </r>
        <r>
          <rPr>
            <sz val="9"/>
            <color indexed="81"/>
            <rFont val="Tahoma"/>
            <family val="2"/>
          </rPr>
          <t xml:space="preserve">
An estimate based on the difference between Treasury Bills and Policy Rate in the previous periods.</t>
        </r>
      </text>
    </comment>
    <comment ref="D84" authorId="0" shapeId="0" xr:uid="{9846C098-BF40-4B3A-ABCB-6EAA471F9BBB}">
      <text>
        <r>
          <rPr>
            <b/>
            <sz val="9"/>
            <color indexed="81"/>
            <rFont val="Tahoma"/>
            <family val="2"/>
          </rPr>
          <t>MSi:</t>
        </r>
        <r>
          <rPr>
            <sz val="9"/>
            <color indexed="81"/>
            <rFont val="Tahoma"/>
            <family val="2"/>
          </rPr>
          <t xml:space="preserve">
These are P&amp;L figures that doesn't include FVOCI securities. FVOCI are only mentioned here for calculation</t>
        </r>
      </text>
    </comment>
    <comment ref="E84" authorId="0" shapeId="0" xr:uid="{790B3518-6D6D-44DF-B508-F2C26E10BE8D}">
      <text>
        <r>
          <rPr>
            <b/>
            <sz val="9"/>
            <color indexed="81"/>
            <rFont val="Tahoma"/>
            <family val="2"/>
          </rPr>
          <t>MSi:</t>
        </r>
        <r>
          <rPr>
            <sz val="9"/>
            <color indexed="81"/>
            <rFont val="Tahoma"/>
            <family val="2"/>
          </rPr>
          <t xml:space="preserve">
This rate assumes that the bank has invested equally in market treasury bills of different maturity</t>
        </r>
      </text>
    </comment>
    <comment ref="E87" authorId="0" shapeId="0" xr:uid="{750CFD3B-40C7-4288-BCE9-FF7F6BC33EAB}">
      <text>
        <r>
          <rPr>
            <b/>
            <sz val="9"/>
            <color indexed="81"/>
            <rFont val="Tahoma"/>
            <family val="2"/>
          </rPr>
          <t>MSi:</t>
        </r>
        <r>
          <rPr>
            <sz val="9"/>
            <color indexed="81"/>
            <rFont val="Tahoma"/>
            <family val="2"/>
          </rPr>
          <t xml:space="preserve">
This rate assumes that the bank has invested equally in Pakistan Investment Bonds of different maturity</t>
        </r>
      </text>
    </comment>
    <comment ref="K87" authorId="0" shapeId="0" xr:uid="{F516932B-EC74-447B-9822-2A47B55424AF}">
      <text>
        <r>
          <rPr>
            <b/>
            <sz val="9"/>
            <color indexed="81"/>
            <rFont val="Tahoma"/>
            <family val="2"/>
          </rPr>
          <t>MSi:</t>
        </r>
        <r>
          <rPr>
            <sz val="9"/>
            <color indexed="81"/>
            <rFont val="Tahoma"/>
            <family val="2"/>
          </rPr>
          <t xml:space="preserve">
Had to make an adjustment in the highlighted columns as the calculated income here was exceeding the total income on P&amp;L</t>
        </r>
      </text>
    </comment>
    <comment ref="E91" authorId="0" shapeId="0" xr:uid="{79E46129-E7B2-4662-AB7E-F7423863DD69}">
      <text>
        <r>
          <rPr>
            <b/>
            <sz val="9"/>
            <color indexed="81"/>
            <rFont val="Tahoma"/>
            <family val="2"/>
          </rPr>
          <t>MSi:</t>
        </r>
        <r>
          <rPr>
            <sz val="9"/>
            <color indexed="81"/>
            <rFont val="Tahoma"/>
            <family val="2"/>
          </rPr>
          <t xml:space="preserve">
This rate assumes that 50% of the investment in Variable and 50% were in Fixed Ijarah Sukuk. Each Variable and Fixed Interest rate further assumed that the Bank invested equally in Sukuks of all maturities.</t>
        </r>
      </text>
    </comment>
    <comment ref="F96" authorId="0" shapeId="0" xr:uid="{42DCFE75-A994-41C0-8FA1-B9FCC6EFBE59}">
      <text>
        <r>
          <rPr>
            <b/>
            <sz val="9"/>
            <color indexed="81"/>
            <rFont val="Tahoma"/>
            <family val="2"/>
          </rPr>
          <t>MSi:</t>
        </r>
        <r>
          <rPr>
            <sz val="9"/>
            <color indexed="81"/>
            <rFont val="Tahoma"/>
            <family val="2"/>
          </rPr>
          <t xml:space="preserve">
All Categories except Non-Government Debt Securities beneath Federal Government Securities are balancing figures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E44" authorId="0" shapeId="0" xr:uid="{090A39BE-9D0B-4453-A215-42A98DA9FFA9}">
      <text>
        <r>
          <rPr>
            <b/>
            <sz val="9"/>
            <color indexed="81"/>
            <rFont val="Tahoma"/>
            <charset val="1"/>
          </rPr>
          <t>MSi:</t>
        </r>
        <r>
          <rPr>
            <sz val="9"/>
            <color indexed="81"/>
            <rFont val="Tahoma"/>
            <charset val="1"/>
          </rPr>
          <t xml:space="preserve">
these percentages are proportion of net charge as a proportion of opening balance to estimate the average net charge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F4" authorId="0" shapeId="0" xr:uid="{3BA10446-F5F1-43D6-AAB1-DC23068C5D9D}">
      <text>
        <r>
          <rPr>
            <b/>
            <sz val="9"/>
            <color indexed="81"/>
            <rFont val="Tahoma"/>
            <family val="2"/>
          </rPr>
          <t>MSi:</t>
        </r>
        <r>
          <rPr>
            <sz val="9"/>
            <color indexed="81"/>
            <rFont val="Tahoma"/>
            <family val="2"/>
          </rPr>
          <t xml:space="preserve">
Trade Finance and lending to Financial Sector is subtracted as it is separately covered. (I have made an assumption that all lending to Financial Sector came from Corporate Sector)</t>
        </r>
      </text>
    </comment>
    <comment ref="F5" authorId="0" shapeId="0" xr:uid="{E6E87048-D77C-44CD-8A12-3AFB38478700}">
      <text>
        <r>
          <rPr>
            <b/>
            <sz val="9"/>
            <color indexed="81"/>
            <rFont val="Tahoma"/>
            <family val="2"/>
          </rPr>
          <t>MSi:</t>
        </r>
        <r>
          <rPr>
            <sz val="9"/>
            <color indexed="81"/>
            <rFont val="Tahoma"/>
            <family val="2"/>
          </rPr>
          <t xml:space="preserve">
Trade Finance is subtracted as it is separately covered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F38" authorId="0" shapeId="0" xr:uid="{B8A89998-FA2C-4D13-9955-121D7F763606}">
      <text>
        <r>
          <rPr>
            <b/>
            <sz val="9"/>
            <color indexed="81"/>
            <rFont val="Tahoma"/>
            <family val="2"/>
          </rPr>
          <t>MSi:</t>
        </r>
        <r>
          <rPr>
            <sz val="9"/>
            <color indexed="81"/>
            <rFont val="Tahoma"/>
            <family val="2"/>
          </rPr>
          <t xml:space="preserve">
For simplicity purposes, the proportion is kept the same for each Deposit Category.</t>
        </r>
      </text>
    </comment>
    <comment ref="F43" authorId="0" shapeId="0" xr:uid="{9C314B62-2A94-4129-9C77-1D91CC46E5C0}">
      <text>
        <r>
          <rPr>
            <b/>
            <sz val="9"/>
            <color indexed="81"/>
            <rFont val="Tahoma"/>
            <family val="2"/>
          </rPr>
          <t>MSi:</t>
        </r>
        <r>
          <rPr>
            <sz val="9"/>
            <color indexed="81"/>
            <rFont val="Tahoma"/>
            <family val="2"/>
          </rPr>
          <t xml:space="preserve">
This figure is taken from HBL Investor Presentation quarterly issued.</t>
        </r>
      </text>
    </comment>
    <comment ref="C84" authorId="0" shapeId="0" xr:uid="{67E21D6E-536B-4999-A8B6-32DA4A18195B}">
      <text>
        <r>
          <rPr>
            <b/>
            <sz val="9"/>
            <color indexed="81"/>
            <rFont val="Tahoma"/>
            <family val="2"/>
          </rPr>
          <t>MSi:</t>
        </r>
        <r>
          <rPr>
            <sz val="9"/>
            <color indexed="81"/>
            <rFont val="Tahoma"/>
            <family val="2"/>
          </rPr>
          <t xml:space="preserve">
An estimate based on the differences between interest expense and saving rate in the previous period</t>
        </r>
      </text>
    </comment>
    <comment ref="C85" authorId="0" shapeId="0" xr:uid="{8E9B0342-FA3C-44EC-9798-482E89C8489D}">
      <text>
        <r>
          <rPr>
            <b/>
            <sz val="9"/>
            <color indexed="81"/>
            <rFont val="Tahoma"/>
            <family val="2"/>
          </rPr>
          <t>MSi:</t>
        </r>
        <r>
          <rPr>
            <sz val="9"/>
            <color indexed="81"/>
            <rFont val="Tahoma"/>
            <family val="2"/>
          </rPr>
          <t xml:space="preserve">
Usually the saving has been 100-200 lower than the policy. I estimated the policy rate to 11.5% so I adjusted the saving rate to 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B5" authorId="0" shapeId="0" xr:uid="{BF60B551-C890-44DC-8360-519F1BD7E569}">
      <text>
        <r>
          <rPr>
            <b/>
            <sz val="9"/>
            <color indexed="81"/>
            <rFont val="Tahoma"/>
            <family val="2"/>
          </rPr>
          <t>MSi:</t>
        </r>
        <r>
          <rPr>
            <sz val="9"/>
            <color indexed="81"/>
            <rFont val="Tahoma"/>
            <family val="2"/>
          </rPr>
          <t xml:space="preserve">
These rates are gathered from rate sheet from resources tab on HBL's official website</t>
        </r>
      </text>
    </comment>
    <comment ref="B27" authorId="0" shapeId="0" xr:uid="{4DF7F688-FBB2-493F-BDFC-3BD79DA4A4E3}">
      <text>
        <r>
          <rPr>
            <b/>
            <sz val="9"/>
            <color indexed="81"/>
            <rFont val="Tahoma"/>
            <family val="2"/>
          </rPr>
          <t>MSi:</t>
        </r>
        <r>
          <rPr>
            <sz val="9"/>
            <color indexed="81"/>
            <rFont val="Tahoma"/>
            <family val="2"/>
          </rPr>
          <t xml:space="preserve">
Couldn't open these files on HBL's official website so I estimated these based on differences in saving and policy rates in other periods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D78877-EC3C-4581-AB98-C53F3983E8AA}" name="Query - Page029" description="Connection to the 'Page029' query in the workbook." type="100" refreshedVersion="8" minRefreshableVersion="5">
    <extLst>
      <ext xmlns:x15="http://schemas.microsoft.com/office/spreadsheetml/2010/11/main" uri="{DE250136-89BD-433C-8126-D09CA5730AF9}">
        <x15:connection id="e820d5a0-2ea4-49ac-be56-a8eb05261080"/>
      </ext>
    </extLst>
  </connection>
  <connection id="2" xr16:uid="{3AD29646-B413-4629-B1CF-AE083E95F335}" name="Query - Page030" description="Connection to the 'Page030' query in the workbook." type="100" refreshedVersion="8" minRefreshableVersion="5">
    <extLst>
      <ext xmlns:x15="http://schemas.microsoft.com/office/spreadsheetml/2010/11/main" uri="{DE250136-89BD-433C-8126-D09CA5730AF9}">
        <x15:connection id="286c1efa-00e6-405f-bcd1-c6ef7db3968c"/>
      </ext>
    </extLst>
  </connection>
  <connection id="3" xr16:uid="{08AE25C6-2F56-4EC5-B80A-EFD05D2BC0AD}" name="Query - Page031" description="Connection to the 'Page031' query in the workbook." type="100" refreshedVersion="8" minRefreshableVersion="5">
    <extLst>
      <ext xmlns:x15="http://schemas.microsoft.com/office/spreadsheetml/2010/11/main" uri="{DE250136-89BD-433C-8126-D09CA5730AF9}">
        <x15:connection id="a1d05aeb-3de8-4fae-b309-9d4fdff75d81"/>
      </ext>
    </extLst>
  </connection>
  <connection id="4" xr16:uid="{022FEB95-D10E-4834-8867-EFB06923AA1C}" name="Query - Page032" description="Connection to the 'Page032' query in the workbook." type="100" refreshedVersion="8" minRefreshableVersion="5">
    <extLst>
      <ext xmlns:x15="http://schemas.microsoft.com/office/spreadsheetml/2010/11/main" uri="{DE250136-89BD-433C-8126-D09CA5730AF9}">
        <x15:connection id="076bb968-e448-4638-9384-25932cde5d1a"/>
      </ext>
    </extLst>
  </connection>
  <connection id="5" xr16:uid="{DC22408D-C37C-4BD4-9C17-F6A236709EC6}" name="Query - Page033" description="Connection to the 'Page033' query in the workbook." type="100" refreshedVersion="8" minRefreshableVersion="5">
    <extLst>
      <ext xmlns:x15="http://schemas.microsoft.com/office/spreadsheetml/2010/11/main" uri="{DE250136-89BD-433C-8126-D09CA5730AF9}">
        <x15:connection id="49b0cf8f-e5f4-4f9d-9034-8241126beaec"/>
      </ext>
    </extLst>
  </connection>
  <connection id="6" xr16:uid="{98880D33-54C5-4C22-A35B-646618ADDA86}" name="Query - Page034" description="Connection to the 'Page034' query in the workbook." type="100" refreshedVersion="8" minRefreshableVersion="5">
    <extLst>
      <ext xmlns:x15="http://schemas.microsoft.com/office/spreadsheetml/2010/11/main" uri="{DE250136-89BD-433C-8126-D09CA5730AF9}">
        <x15:connection id="6576679c-861d-44d3-8bc7-107423c09463"/>
      </ext>
    </extLst>
  </connection>
  <connection id="7" xr16:uid="{38CE7EEA-B46B-490C-95D0-1595AC32AE10}" name="Query - Page035" description="Connection to the 'Page035' query in the workbook." type="100" refreshedVersion="8" minRefreshableVersion="5">
    <extLst>
      <ext xmlns:x15="http://schemas.microsoft.com/office/spreadsheetml/2010/11/main" uri="{DE250136-89BD-433C-8126-D09CA5730AF9}">
        <x15:connection id="9257200e-9f80-4919-ae17-5a07489b3d6e"/>
      </ext>
    </extLst>
  </connection>
  <connection id="8" xr16:uid="{1C61F434-40ED-4631-B217-31485FAFFBF2}" name="Query - Page036" description="Connection to the 'Page036' query in the workbook." type="100" refreshedVersion="8" minRefreshableVersion="5">
    <extLst>
      <ext xmlns:x15="http://schemas.microsoft.com/office/spreadsheetml/2010/11/main" uri="{DE250136-89BD-433C-8126-D09CA5730AF9}">
        <x15:connection id="f53d8826-29d9-48bb-b689-440dcd949256"/>
      </ext>
    </extLst>
  </connection>
  <connection id="9" xr16:uid="{29B1F90D-D664-4CA9-9B5B-B92B3F3F2A63}" name="Query - Page037" description="Connection to the 'Page037' query in the workbook." type="100" refreshedVersion="8" minRefreshableVersion="5">
    <extLst>
      <ext xmlns:x15="http://schemas.microsoft.com/office/spreadsheetml/2010/11/main" uri="{DE250136-89BD-433C-8126-D09CA5730AF9}">
        <x15:connection id="24877ad4-f5b9-4a81-997c-d25a22f2292a"/>
      </ext>
    </extLst>
  </connection>
  <connection id="10" xr16:uid="{B27700B7-580B-4A16-BF9B-4FAF50E7AABA}" name="Query - Page038" description="Connection to the 'Page038' query in the workbook." type="100" refreshedVersion="8" minRefreshableVersion="5">
    <extLst>
      <ext xmlns:x15="http://schemas.microsoft.com/office/spreadsheetml/2010/11/main" uri="{DE250136-89BD-433C-8126-D09CA5730AF9}">
        <x15:connection id="17473bc8-b208-4473-bf24-95b1b6acfe99"/>
      </ext>
    </extLst>
  </connection>
  <connection id="11" xr16:uid="{2435EB60-5DE9-4E6B-BBAE-F53A3528CB40}" name="Query - Page039" description="Connection to the 'Page039' query in the workbook." type="100" refreshedVersion="8" minRefreshableVersion="5">
    <extLst>
      <ext xmlns:x15="http://schemas.microsoft.com/office/spreadsheetml/2010/11/main" uri="{DE250136-89BD-433C-8126-D09CA5730AF9}">
        <x15:connection id="8de74409-5e15-4231-9b5f-c3d7015481a9"/>
      </ext>
    </extLst>
  </connection>
  <connection id="12" xr16:uid="{25B5FD22-1BEA-4999-B4FD-9761F5156F8B}" name="Query - Page040" description="Connection to the 'Page040' query in the workbook." type="100" refreshedVersion="8" minRefreshableVersion="5">
    <extLst>
      <ext xmlns:x15="http://schemas.microsoft.com/office/spreadsheetml/2010/11/main" uri="{DE250136-89BD-433C-8126-D09CA5730AF9}">
        <x15:connection id="8bd232e8-2e45-4408-8fdf-553ed9aef986"/>
      </ext>
    </extLst>
  </connection>
  <connection id="13" xr16:uid="{216AA550-CDF7-42DE-B358-ECB6598088CA}" name="Query - Page041" description="Connection to the 'Page041' query in the workbook." type="100" refreshedVersion="8" minRefreshableVersion="5">
    <extLst>
      <ext xmlns:x15="http://schemas.microsoft.com/office/spreadsheetml/2010/11/main" uri="{DE250136-89BD-433C-8126-D09CA5730AF9}">
        <x15:connection id="f41a7d92-253a-4e82-88d0-b8d65a333806"/>
      </ext>
    </extLst>
  </connection>
  <connection id="14" xr16:uid="{64A292AA-34A9-442F-B154-A0B79CBF3E36}" name="Query - Page042" description="Connection to the 'Page042' query in the workbook." type="100" refreshedVersion="8" minRefreshableVersion="5">
    <extLst>
      <ext xmlns:x15="http://schemas.microsoft.com/office/spreadsheetml/2010/11/main" uri="{DE250136-89BD-433C-8126-D09CA5730AF9}">
        <x15:connection id="cf440323-3661-4f57-bc60-07942c7a2379"/>
      </ext>
    </extLst>
  </connection>
  <connection id="15" xr16:uid="{1CA5B279-B50A-4249-826D-36D02376D8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<sst xmlns="http://schemas.openxmlformats.org/spreadsheetml/2006/main" count="3959" uniqueCount="1863">
  <si>
    <t>HABIB BANK LIMITED</t>
  </si>
  <si>
    <t>PKR</t>
  </si>
  <si>
    <t>RATIOS</t>
  </si>
  <si>
    <t>25 Forecast</t>
  </si>
  <si>
    <t>Total Assets</t>
  </si>
  <si>
    <t>Total Equity</t>
  </si>
  <si>
    <t>Revenue</t>
  </si>
  <si>
    <t>EBITDA (PBPT + D&amp;A)</t>
  </si>
  <si>
    <t>PBPT (EBIT)</t>
  </si>
  <si>
    <t>EBT</t>
  </si>
  <si>
    <t>Net Income</t>
  </si>
  <si>
    <t>Shares Outstanding</t>
  </si>
  <si>
    <t>EPS</t>
  </si>
  <si>
    <t>Book Value per share</t>
  </si>
  <si>
    <t>Sales per share</t>
  </si>
  <si>
    <t>Cash Dividend per share</t>
  </si>
  <si>
    <t>PSX Filing Date of Annual Financial Statements</t>
  </si>
  <si>
    <t>19-Feb-2025 02:00PM</t>
  </si>
  <si>
    <t>23-Feb-2024 12:25AM</t>
  </si>
  <si>
    <t>24-Feb-2023 12:39AM</t>
  </si>
  <si>
    <t>24-Feb-2022 02:01PM</t>
  </si>
  <si>
    <t>Stock Price a day before Filing Date (Closing)</t>
  </si>
  <si>
    <t>Stock Price on Filing Date (Closing)</t>
  </si>
  <si>
    <t>Stock Price a week later from the Filing Date (Closing)</t>
  </si>
  <si>
    <t>Stock Price a month later from the Filing Date (Closing)</t>
  </si>
  <si>
    <t>Risk-free Rate (PIB Yield 10Y)</t>
  </si>
  <si>
    <t>Beta</t>
  </si>
  <si>
    <t>Expected return on market (10-year CAGR)</t>
  </si>
  <si>
    <t>Expected return on a security (CAPM)</t>
  </si>
  <si>
    <t>Retention ratio</t>
  </si>
  <si>
    <t>Sustainable Growth Rate</t>
  </si>
  <si>
    <t>Return on Equity</t>
  </si>
  <si>
    <t>Effective Tax Rate</t>
  </si>
  <si>
    <t>Ratios</t>
  </si>
  <si>
    <t>P/E Ratio</t>
  </si>
  <si>
    <t>Stock Price a day before Filing Date (Closing) Previous Year Earnings</t>
  </si>
  <si>
    <t>Justified Trailing ratio</t>
  </si>
  <si>
    <t>Justified Leading ratio</t>
  </si>
  <si>
    <t>P/B Ratio</t>
  </si>
  <si>
    <t>Stock Price a day before Filing Date (Closing) Previous Year Equity</t>
  </si>
  <si>
    <t>P/S Ratio</t>
  </si>
  <si>
    <t>Stock Price a day before Filing Date (Closing) Previous Year Sales</t>
  </si>
  <si>
    <t>DDM</t>
  </si>
  <si>
    <t>Constant Growth DDM</t>
  </si>
  <si>
    <t>Residual Income</t>
  </si>
  <si>
    <t>Equity Charge</t>
  </si>
  <si>
    <t>DuPont Analysis</t>
  </si>
  <si>
    <t>Net Income/ Total Equity</t>
  </si>
  <si>
    <t>ROE</t>
  </si>
  <si>
    <t>Tax Burden</t>
  </si>
  <si>
    <t>Net Income/EBT</t>
  </si>
  <si>
    <t>Interest Burden</t>
  </si>
  <si>
    <t>EBT/EBIT</t>
  </si>
  <si>
    <t>Operating Margin</t>
  </si>
  <si>
    <t>EBIT/Revenue</t>
  </si>
  <si>
    <t>Asset Turnover</t>
  </si>
  <si>
    <t>Revenue/Assets</t>
  </si>
  <si>
    <t>Equity Multiplier</t>
  </si>
  <si>
    <t>Assets/Equity</t>
  </si>
  <si>
    <t>Basil III Disclosures</t>
  </si>
  <si>
    <t>CET1 Ratio</t>
  </si>
  <si>
    <t>Tier 1 Ratio</t>
  </si>
  <si>
    <t>Total Capital Ratio</t>
  </si>
  <si>
    <t>Leverage Ratio (%)</t>
  </si>
  <si>
    <t>Liquidity Coverage Ratio</t>
  </si>
  <si>
    <t>Net Stable Funding Ratio</t>
  </si>
  <si>
    <t>CONSOLIDATED STATEMENT OF FINANCIAL POSITION</t>
  </si>
  <si>
    <t>ASSETS</t>
  </si>
  <si>
    <t>Cash and balances with treasury banks</t>
  </si>
  <si>
    <t>Balances with other banks</t>
  </si>
  <si>
    <t>Lendings to financial institutions</t>
  </si>
  <si>
    <t>Investments</t>
  </si>
  <si>
    <t>Advances</t>
  </si>
  <si>
    <t>Property and equipment</t>
  </si>
  <si>
    <t>Right-of-use assets</t>
  </si>
  <si>
    <t>Intangible assets</t>
  </si>
  <si>
    <t xml:space="preserve">Deferred tax assets </t>
  </si>
  <si>
    <t>Other assets</t>
  </si>
  <si>
    <t>5,534,348,303</t>
  </si>
  <si>
    <t>LIABILITIES</t>
  </si>
  <si>
    <t>Bills payable</t>
  </si>
  <si>
    <t>Borrowings</t>
  </si>
  <si>
    <t>Deposits and other accounts</t>
  </si>
  <si>
    <t>Lease liabilities</t>
  </si>
  <si>
    <t>Subordinated debt</t>
  </si>
  <si>
    <t>Deferred tax liabilities</t>
  </si>
  <si>
    <t>Other liabilities</t>
  </si>
  <si>
    <t>Total Liabiliatied</t>
  </si>
  <si>
    <t>NET ASSETS</t>
  </si>
  <si>
    <t>Shareholders' equity</t>
  </si>
  <si>
    <t>Share capital</t>
  </si>
  <si>
    <t>Reserves</t>
  </si>
  <si>
    <t>Surplus on revaluation of assets - net of tax</t>
  </si>
  <si>
    <t>Unappropriated profit</t>
  </si>
  <si>
    <t>Total equity attributable to the equity holders of the Bank</t>
  </si>
  <si>
    <t>Non-controlling interest</t>
  </si>
  <si>
    <t>285,021,814</t>
  </si>
  <si>
    <t>Adjusted Revaluation Surplus</t>
  </si>
  <si>
    <t>Investments:</t>
  </si>
  <si>
    <t>Market Treasury Bills</t>
  </si>
  <si>
    <t>Pakistan Investment Bonds</t>
  </si>
  <si>
    <t>Ijarah Sukuk</t>
  </si>
  <si>
    <t>Government of Pakistan US Dollar Bonds</t>
  </si>
  <si>
    <t>Other Federal Government securities</t>
  </si>
  <si>
    <t>Federal Government securities</t>
  </si>
  <si>
    <t>Shares</t>
  </si>
  <si>
    <t>Non-Government debt securities</t>
  </si>
  <si>
    <t>Foreign securities</t>
  </si>
  <si>
    <t>National Investment Unit Trust units</t>
  </si>
  <si>
    <t>Real Estate Investment Trust units</t>
  </si>
  <si>
    <t>Preference shares</t>
  </si>
  <si>
    <t>Investments in associates</t>
  </si>
  <si>
    <t>Total</t>
  </si>
  <si>
    <t>Advances:</t>
  </si>
  <si>
    <t>Gross Performing Loans</t>
  </si>
  <si>
    <t>Gross Non-performaing Loan</t>
  </si>
  <si>
    <t>Credit Allowance/Provision (Performing)</t>
  </si>
  <si>
    <t>Credit Allowance/Provision (Non-performing)</t>
  </si>
  <si>
    <t>Net Performing Loans</t>
  </si>
  <si>
    <t>Net Non-performing Loans</t>
  </si>
  <si>
    <t>Net Advances</t>
  </si>
  <si>
    <t>Loans, cash credits, running finances, etc.</t>
  </si>
  <si>
    <t>Islamic financing and related assets</t>
  </si>
  <si>
    <t>Bills discounted and purchased</t>
  </si>
  <si>
    <t>Gross Advances</t>
  </si>
  <si>
    <t>Investment to Deposit ratio</t>
  </si>
  <si>
    <t>Advance to Deposit ratio</t>
  </si>
  <si>
    <t>Lendings to financial institutions to Deposit ratio</t>
  </si>
  <si>
    <t>Balances with other banks to Deposit ratio</t>
  </si>
  <si>
    <t>*SUM to Deposit rato</t>
  </si>
  <si>
    <t>Policy Rate</t>
  </si>
  <si>
    <t>Fair Value through OCI/Available for Sale</t>
  </si>
  <si>
    <t>Fair Value through Profit and Loss/Held for Tradng</t>
  </si>
  <si>
    <t>Amortized Cost/Held to Maturity</t>
  </si>
  <si>
    <t>Foreign Securities</t>
  </si>
  <si>
    <t>Other Securities</t>
  </si>
  <si>
    <t>FVTPL/HFT</t>
  </si>
  <si>
    <t>Cost</t>
  </si>
  <si>
    <t>Surplus/Deficit</t>
  </si>
  <si>
    <t>Carrying Value</t>
  </si>
  <si>
    <t>FVOCI/AFS</t>
  </si>
  <si>
    <t>Credit Loss Allowance</t>
  </si>
  <si>
    <t>Amortised Cost/HFM</t>
  </si>
  <si>
    <t>Investment in Associates</t>
  </si>
  <si>
    <t>Total Investment</t>
  </si>
  <si>
    <t>CONSOLIDATED STATEMENT OF PROFIT AND LOSS ACCOUNT</t>
  </si>
  <si>
    <t>Mark-up / return / profit / interest earned</t>
  </si>
  <si>
    <t>Mark-up / return / profit / interest expensed</t>
  </si>
  <si>
    <t>Net mark-up / return / profit / interest income</t>
  </si>
  <si>
    <t>Non mark-up / interest income</t>
  </si>
  <si>
    <t>Fee and commission income</t>
  </si>
  <si>
    <t>Dividend income</t>
  </si>
  <si>
    <t>Share of profit of associates and joint venture</t>
  </si>
  <si>
    <t>Foreign exchange income</t>
  </si>
  <si>
    <t>Income / (loss) from derivatives</t>
  </si>
  <si>
    <t>Gain on securities - net</t>
  </si>
  <si>
    <t>Other income</t>
  </si>
  <si>
    <t>Total non mark-up / interest income</t>
  </si>
  <si>
    <t>Total income</t>
  </si>
  <si>
    <t>Non mark-up / interest expenses</t>
  </si>
  <si>
    <t>Operating expenses</t>
  </si>
  <si>
    <t>Workers' Welfare Fund</t>
  </si>
  <si>
    <t>Other charges</t>
  </si>
  <si>
    <t>Total non mark-up / interest expenses</t>
  </si>
  <si>
    <t>Profit before credit loss allowance and taxation</t>
  </si>
  <si>
    <t>Credit loss allowance and write offs - net</t>
  </si>
  <si>
    <t>Profit before taxation</t>
  </si>
  <si>
    <t>Taxation</t>
  </si>
  <si>
    <t>Profit after taxation</t>
  </si>
  <si>
    <t>Attributable to:</t>
  </si>
  <si>
    <t>Equity holders of the Bank</t>
  </si>
  <si>
    <t>Share Outstanding</t>
  </si>
  <si>
    <t>Basic and diluted earnings per share</t>
  </si>
  <si>
    <t>Dividend/Earning</t>
  </si>
  <si>
    <t>Profit Retained</t>
  </si>
  <si>
    <t>Loans and advances</t>
  </si>
  <si>
    <t>Balances with banks</t>
  </si>
  <si>
    <t>Gross Interest Income</t>
  </si>
  <si>
    <t>Estimated Spread</t>
  </si>
  <si>
    <t>Corporate and Commercial</t>
  </si>
  <si>
    <t>Consumer and Retail</t>
  </si>
  <si>
    <t>Agriculture</t>
  </si>
  <si>
    <t>SME</t>
  </si>
  <si>
    <t>International</t>
  </si>
  <si>
    <t>Microfinance</t>
  </si>
  <si>
    <t>Financial Institution</t>
  </si>
  <si>
    <t>Income from Advances</t>
  </si>
  <si>
    <t>Yield on Advances</t>
  </si>
  <si>
    <t>Weighted Policy Rate</t>
  </si>
  <si>
    <t>Base rates on top of which the estimated spread is added based on loan category</t>
  </si>
  <si>
    <t>Income from Lendings to financial institutions</t>
  </si>
  <si>
    <t>Yield %</t>
  </si>
  <si>
    <t>Income from Balances with other banks</t>
  </si>
  <si>
    <t>Surplus/deficit from FVOCI (Not Added)/AFS</t>
  </si>
  <si>
    <t>Surplus/deficit from FVPL/HFT</t>
  </si>
  <si>
    <t>Imputed Interest</t>
  </si>
  <si>
    <t>Coupon Income</t>
  </si>
  <si>
    <t>Income from Investments</t>
  </si>
  <si>
    <t>Yield on Investment</t>
  </si>
  <si>
    <t>Deposits</t>
  </si>
  <si>
    <t>Securities sold under repurchase agreement borrowings</t>
  </si>
  <si>
    <t>Cost of foreign currency swaps against foreign currency deposits / borrowings</t>
  </si>
  <si>
    <t>Lease liability against right-of-use assets</t>
  </si>
  <si>
    <t>Opening Book Value (Property and equipment)</t>
  </si>
  <si>
    <t>Depreciation (Property and equipment)</t>
  </si>
  <si>
    <t>Depreciation/Opening Book Value</t>
  </si>
  <si>
    <t>Opening Book Value (Right-of-use assets)</t>
  </si>
  <si>
    <t>Depreciation (Right-of-use assets)</t>
  </si>
  <si>
    <t>Payment of lease liability against right-of-use assets</t>
  </si>
  <si>
    <t>Payment of lease liability against right-of-use assets/Opening Balance</t>
  </si>
  <si>
    <t>Opening Book Value (Intangible Assets)</t>
  </si>
  <si>
    <t>Amortization</t>
  </si>
  <si>
    <t>Amortization/Opening Book Value (Intangible Assets)</t>
  </si>
  <si>
    <t>CONSOLIDATED CASH FLOW STATEMENT</t>
  </si>
  <si>
    <t>USD</t>
  </si>
  <si>
    <t>Mark-up expensed on subordinated debt</t>
  </si>
  <si>
    <t>Non-Cash Expenses</t>
  </si>
  <si>
    <t>Depreciation</t>
  </si>
  <si>
    <t>Amortisation</t>
  </si>
  <si>
    <t>Depreciation on right-of-use assets</t>
  </si>
  <si>
    <t>Provision for / (reversal of) diminution in value of investments</t>
  </si>
  <si>
    <t>Mark-up expensed on lease liability against right-of-use assets</t>
  </si>
  <si>
    <t>Reversal of credit loss allowance against investments</t>
  </si>
  <si>
    <t>Provisions / credit loss allowance against loans and advances</t>
  </si>
  <si>
    <t>Reversal of credit loss allowance against lendings to financial institutions</t>
  </si>
  <si>
    <t>-</t>
  </si>
  <si>
    <t>Provision / credit loss allowance against other assets</t>
  </si>
  <si>
    <t>Charge / (reversal) of credit loss allowance against off-balance sheet obligations</t>
  </si>
  <si>
    <t>Unrealised gain on securities designated at fair value through profit and loss (FVTPL)</t>
  </si>
  <si>
    <t>Unrealised gain on held-for-trading securities</t>
  </si>
  <si>
    <t>Gain on derecognition of joint venture</t>
  </si>
  <si>
    <t>Exchange loss / (gain) on goodwill</t>
  </si>
  <si>
    <t>Exchange gain realised on partial repatriation of branch capital - net of tax</t>
  </si>
  <si>
    <t>Exchange gain realised on liquidation of subsidiary - net of tax</t>
  </si>
  <si>
    <t>Gain on sale of property and equipment - net</t>
  </si>
  <si>
    <t>Gain realised on closure / sale of the Bank's branches</t>
  </si>
  <si>
    <t>Profit before taxation adjusted for non-cash expenses</t>
  </si>
  <si>
    <t>(Increase) / decrease in operating assets</t>
  </si>
  <si>
    <t>Net investment in securities carried at FVTPL</t>
  </si>
  <si>
    <t>Net investment in held-for-trading securities</t>
  </si>
  <si>
    <t>Other assets (excluding advance taxation)</t>
  </si>
  <si>
    <t>Increase / (decrease) in operating liabilities</t>
  </si>
  <si>
    <t>Borrowings from financial institutions</t>
  </si>
  <si>
    <t>Increase / (decrease) in operating net assets</t>
  </si>
  <si>
    <t>Income tax paid</t>
  </si>
  <si>
    <t>Net cash flows (used in) / generated from operating activities</t>
  </si>
  <si>
    <t>CASH FLOWS FROM INVESTING ACTIVITIES</t>
  </si>
  <si>
    <t>Net investment in securities carried at FVOCI</t>
  </si>
  <si>
    <t>Net investment in securities carried at Amortised Cost</t>
  </si>
  <si>
    <t>Net investment in available-for-sale securities</t>
  </si>
  <si>
    <t>Net investment in held-to-maturity securities</t>
  </si>
  <si>
    <t>Net investment in associates</t>
  </si>
  <si>
    <t>Dividend received</t>
  </si>
  <si>
    <t>Investment in property and equipment</t>
  </si>
  <si>
    <t>Investment in intangible assets</t>
  </si>
  <si>
    <t>Proceeds from sale of property and equipment</t>
  </si>
  <si>
    <t>Effect of translation of net investment in foreign branches, subsidiaries, joint venture and associates - net of tax</t>
  </si>
  <si>
    <t>Net cash flows used in investing activities</t>
  </si>
  <si>
    <t>CASH FLOWS FROM FINANCING ACTIVITIES</t>
  </si>
  <si>
    <t>Effect of translation of net investment by non-controlling interest in subsidiary</t>
  </si>
  <si>
    <t>Proceeds from issuance of subordinated debt</t>
  </si>
  <si>
    <t xml:space="preserve">Repayment of subordinated debt </t>
  </si>
  <si>
    <t>Payment of mark-up on subordinated debt</t>
  </si>
  <si>
    <t>Dividend paid</t>
  </si>
  <si>
    <t>Net cash flows used in financing activities</t>
  </si>
  <si>
    <t>(Decrease) / increase in cash and cash equivalents during the year</t>
  </si>
  <si>
    <t>Cash and cash equivalents at the beginning of the year (W/O Exchange rate Effect)</t>
  </si>
  <si>
    <t>Effect of exchange rate changes on cash and cash equivalents</t>
  </si>
  <si>
    <t>Cash and cash equivalents at the beginning of the year</t>
  </si>
  <si>
    <t>Cash and cash equivalents at the end of the year</t>
  </si>
  <si>
    <t>CAPITAL ADEQUACY AND LIQUIDITY DISCLOSURE</t>
  </si>
  <si>
    <t>On-balance sheet</t>
  </si>
  <si>
    <t>Sovereigns</t>
  </si>
  <si>
    <t>Public Sector Entities</t>
  </si>
  <si>
    <t>Multilateral Development Banks</t>
  </si>
  <si>
    <t>Banks</t>
  </si>
  <si>
    <t>Corporates</t>
  </si>
  <si>
    <t>Retail</t>
  </si>
  <si>
    <t>Residential mortgages</t>
  </si>
  <si>
    <t>Low Cost Housing</t>
  </si>
  <si>
    <t>Past due loans</t>
  </si>
  <si>
    <t>Listed equity investments</t>
  </si>
  <si>
    <t>Unlisted equity investments</t>
  </si>
  <si>
    <t>Significant investments and others</t>
  </si>
  <si>
    <t>Operating fixed assets</t>
  </si>
  <si>
    <t>On-balance sheet Assets</t>
  </si>
  <si>
    <t>Off-balance sheet</t>
  </si>
  <si>
    <t>Non-market related</t>
  </si>
  <si>
    <t>Market related</t>
  </si>
  <si>
    <t>Off-balance sheet Assets</t>
  </si>
  <si>
    <t>Market Risk</t>
  </si>
  <si>
    <t>Interest Rate Risk</t>
  </si>
  <si>
    <t>Equity Position Risk</t>
  </si>
  <si>
    <t>Foreign Exchange Risk</t>
  </si>
  <si>
    <t>Operational Risk</t>
  </si>
  <si>
    <t>Total Risk Weighted Assets</t>
  </si>
  <si>
    <t>Capital Adequacy Ratio</t>
  </si>
  <si>
    <t>Total eligible regulatory capital held</t>
  </si>
  <si>
    <t>Total risk weighted assets</t>
  </si>
  <si>
    <t>Capital adequacy ratio</t>
  </si>
  <si>
    <t>Common Equity Tier I</t>
  </si>
  <si>
    <t>Fully Paid-up Capital</t>
  </si>
  <si>
    <t>Balance in Share Premium Account - -</t>
  </si>
  <si>
    <t>Reserve for issue of Bonus Shares - -</t>
  </si>
  <si>
    <t>Discount on Issue of shares - -</t>
  </si>
  <si>
    <t>General and Capital Reserves</t>
  </si>
  <si>
    <t>Gain/(Losses) on derivatives held as Cash Flow Hedge - -</t>
  </si>
  <si>
    <t>Non-controlling interest arising from CET1 capital instruments issued to third parties</t>
  </si>
  <si>
    <t>by consolidated banking subsidiaries (amount allowed in CET1 capital of the - -</t>
  </si>
  <si>
    <t>consolidation group)</t>
  </si>
  <si>
    <t>CET before Regulatory Adjustments</t>
  </si>
  <si>
    <t>Total regulatory adjustments applied to CET1 1.3.1</t>
  </si>
  <si>
    <t>Common Equity Tier</t>
  </si>
  <si>
    <t>Additional Tier 1 (AT 1) Capital</t>
  </si>
  <si>
    <t>Qualifying Additional Tier-1 instruments plus any related share premium</t>
  </si>
  <si>
    <t>of which: Classified as equity - -</t>
  </si>
  <si>
    <t>of which: Classified as liabilities</t>
  </si>
  <si>
    <t>Additional Tier-1 capital instruments issued by consolidated subsidiaries and held by third parties (amount allowed in group AT 1)</t>
  </si>
  <si>
    <t>of which: instrument issued by subsidiaries subject to phase out - -</t>
  </si>
  <si>
    <t>AT1 before regulatory adjustments</t>
  </si>
  <si>
    <t>Total of Regulatory Adjustment applied to AT1 capital 1.3.2</t>
  </si>
  <si>
    <t>Additional Tier capital after regulatory adjustments - -</t>
  </si>
  <si>
    <t>Additional Tier capital recognized for capital adequacy</t>
  </si>
  <si>
    <t>Tier 1 Capital (CET1 + admissible AT1)</t>
  </si>
  <si>
    <t>Tier 2 Capital</t>
  </si>
  <si>
    <t>Qualifying Tier capital instruments under Basel III plus any related share premium</t>
  </si>
  <si>
    <t>Tier 2 capital instruments subject to phase out arrangement issued under pre-Basel 3 rules</t>
  </si>
  <si>
    <t>Tier capital instruments issued to third parties by consolidated banking subsidiaries (amount allowed in tier 2)</t>
  </si>
  <si>
    <t>of which: instruments issued by subsidiaries subject to phase out</t>
  </si>
  <si>
    <t>General Provisions or general reserves for loan losses-up to maximum of of Credit Risk Weighted Assets</t>
  </si>
  <si>
    <t>Revaluation Reserves (net of taxes)</t>
  </si>
  <si>
    <t>of which: Revaluation reserves on fixed assets</t>
  </si>
  <si>
    <t>of which: Unrealized gains/losses on FVOCI</t>
  </si>
  <si>
    <t>?</t>
  </si>
  <si>
    <t>Foreign Exchange Translation Reserves -</t>
  </si>
  <si>
    <t>Tier 2 before regulatory adjustments</t>
  </si>
  <si>
    <t>Total regulatory adjustment applied to T2 capital 1.3.3</t>
  </si>
  <si>
    <t>Tier 2 after regulatory adjustments</t>
  </si>
  <si>
    <t>Tier 2 capital not recognized for capital adequacy</t>
  </si>
  <si>
    <t>Tier capital recognized for capital adequacy</t>
  </si>
  <si>
    <t>Portion of Additional Tier 1 capital recognized in Tier capital 2</t>
  </si>
  <si>
    <t>Total Tier 2 capital admissible for capital adequacy</t>
  </si>
  <si>
    <t>TOTAL CAPITAL (Tier 1 + admissible Tier 2)</t>
  </si>
  <si>
    <t>Eligible Tier-1 Capital</t>
  </si>
  <si>
    <t>Total Exposures</t>
  </si>
  <si>
    <t>Minimum Requirement (%)</t>
  </si>
  <si>
    <t>AVERAGE HIGH QUALITY LIQUID ASSETS</t>
  </si>
  <si>
    <t>AVERAGE NET CASH OUTFLOWS</t>
  </si>
  <si>
    <t>LIQUIDITY COVERAGE RATIO</t>
  </si>
  <si>
    <t>Total Available Stable Funding</t>
  </si>
  <si>
    <t>Required Available Stable Funding</t>
  </si>
  <si>
    <t>CREDIT LOSS ALLOWANCE</t>
  </si>
  <si>
    <t>Credit loss allowance against loans and advances</t>
  </si>
  <si>
    <t>Credit loss allowance against cash and cash equivalent</t>
  </si>
  <si>
    <t>Recoveries against written off / charged off bad debts</t>
  </si>
  <si>
    <t>Recoveries against other assets written off</t>
  </si>
  <si>
    <t>Write off of fixed assets</t>
  </si>
  <si>
    <t>Software written off</t>
  </si>
  <si>
    <t>Other write offs and operational losses</t>
  </si>
  <si>
    <t>Bad debts written off directly</t>
  </si>
  <si>
    <t>Specific</t>
  </si>
  <si>
    <t>General</t>
  </si>
  <si>
    <t>Opening balance</t>
  </si>
  <si>
    <t>Exchange adjustment</t>
  </si>
  <si>
    <t>Charge for the year</t>
  </si>
  <si>
    <t>Reversal for the year</t>
  </si>
  <si>
    <t>Net charge / (reversal) against advances</t>
  </si>
  <si>
    <t>Charged off during the year agriculture financing</t>
  </si>
  <si>
    <t>Written off during the year</t>
  </si>
  <si>
    <t>Transferred out</t>
  </si>
  <si>
    <t>Other movement</t>
  </si>
  <si>
    <t>Closing balance</t>
  </si>
  <si>
    <t>Stage 3, &amp; Non-Performing</t>
  </si>
  <si>
    <t>Stage 1, 2, &amp; Performing</t>
  </si>
  <si>
    <t>Opening balance - as restated</t>
  </si>
  <si>
    <t>Transfer to stage 1</t>
  </si>
  <si>
    <t>Transfer to stage 2</t>
  </si>
  <si>
    <t>Transfer to stage 3</t>
  </si>
  <si>
    <t>Charged off during the year corporate, commercial and SME advances</t>
  </si>
  <si>
    <t>Net Charge/Opening Balance of Loss Allowance</t>
  </si>
  <si>
    <t>Stage 1</t>
  </si>
  <si>
    <t>Stage 2</t>
  </si>
  <si>
    <t>Stage 3</t>
  </si>
  <si>
    <t>Opening balance - as reported</t>
  </si>
  <si>
    <t>Impact of adoption of IFRS</t>
  </si>
  <si>
    <t>Charged off during the year</t>
  </si>
  <si>
    <t>agriculture financing</t>
  </si>
  <si>
    <t>corporate, commercial and SME advances</t>
  </si>
  <si>
    <t>Observation Date</t>
  </si>
  <si>
    <t>Series name</t>
  </si>
  <si>
    <t>Observation Value</t>
  </si>
  <si>
    <t>Unit</t>
  </si>
  <si>
    <t>Observation Status</t>
  </si>
  <si>
    <t>Sequence No.</t>
  </si>
  <si>
    <t>State Bank of Pakistan's Reverse Repo Rate</t>
  </si>
  <si>
    <t>Percent</t>
  </si>
  <si>
    <t>Normal</t>
  </si>
  <si>
    <t>State Bank of Pakistan's Repo Rate</t>
  </si>
  <si>
    <t>State Bank of Pakistan's Policy (Target) Rate</t>
  </si>
  <si>
    <t>Date</t>
  </si>
  <si>
    <t>Rate</t>
  </si>
  <si>
    <t>Days in Effect</t>
  </si>
  <si>
    <t>Weighted Rate</t>
  </si>
  <si>
    <t>Macroeconomic Data</t>
  </si>
  <si>
    <t>The figures for these categories are taken from Quarterly Compendium: Statistics of the Banking System, issued by the State Bank of Pakistan</t>
  </si>
  <si>
    <t>Forecasted Growth</t>
  </si>
  <si>
    <t>YoY Growth</t>
  </si>
  <si>
    <t>National Total</t>
  </si>
  <si>
    <t>CAGR</t>
  </si>
  <si>
    <t>Corporate Sector</t>
  </si>
  <si>
    <t>SMEs Sector</t>
  </si>
  <si>
    <t>Agriculture Sector</t>
  </si>
  <si>
    <t>Consumer sector</t>
  </si>
  <si>
    <t>Commodity financing</t>
  </si>
  <si>
    <t>Staff Loans</t>
  </si>
  <si>
    <t>Trade Finance</t>
  </si>
  <si>
    <t>Financial</t>
  </si>
  <si>
    <t>Others</t>
  </si>
  <si>
    <t>Forecasted Proportion</t>
  </si>
  <si>
    <t>Proportion of National Total</t>
  </si>
  <si>
    <t>HBL</t>
  </si>
  <si>
    <t>The proportions for these categories are taken from HBL Investor Presentation issued quarterly</t>
  </si>
  <si>
    <t>Corporate</t>
  </si>
  <si>
    <t>Commercial</t>
  </si>
  <si>
    <t>Consumer</t>
  </si>
  <si>
    <t>Retail Lending</t>
  </si>
  <si>
    <t>Islamic</t>
  </si>
  <si>
    <t>Current Accounts</t>
  </si>
  <si>
    <t>Saving Deposits</t>
  </si>
  <si>
    <t>Fixed Deposits</t>
  </si>
  <si>
    <t>Customer</t>
  </si>
  <si>
    <t>Financial Institutions</t>
  </si>
  <si>
    <t>DEPOSITS (Domestic)</t>
  </si>
  <si>
    <t>DEPOSITS (International)</t>
  </si>
  <si>
    <t>DEPOSITS (Total)</t>
  </si>
  <si>
    <t>Customers</t>
  </si>
  <si>
    <t>Current Accounts Remunerative</t>
  </si>
  <si>
    <t>Current Accounts Non-remunerative</t>
  </si>
  <si>
    <t>Remunerative Deposits</t>
  </si>
  <si>
    <t>Non-remunerative Deposits</t>
  </si>
  <si>
    <t>Saving &amp; Fixed Deposits</t>
  </si>
  <si>
    <t>Current &amp; Financial Institution Deposit</t>
  </si>
  <si>
    <t>Deposit Expense</t>
  </si>
  <si>
    <t>Interest Expense %</t>
  </si>
  <si>
    <t>Saving Rate</t>
  </si>
  <si>
    <t>Interest Expense</t>
  </si>
  <si>
    <t>Lease liability against right-of-use assets/Opening Book Value (Right-of-use assets)</t>
  </si>
  <si>
    <t>Borrowings Expense/Borrowing</t>
  </si>
  <si>
    <t>Interest Paid %</t>
  </si>
  <si>
    <t>Saving Account Rate</t>
  </si>
  <si>
    <t>STATE BANK OF PAKISTAN</t>
  </si>
  <si>
    <t>DOMESTIC MARKETS AND MONETARY MANAGEMENT DEPARTMENT</t>
  </si>
  <si>
    <t>AUCTION SUMMARY</t>
  </si>
  <si>
    <t>MARKET TREASURY BILLS</t>
  </si>
  <si>
    <t>(Rs in Million)</t>
  </si>
  <si>
    <t>Auction No.</t>
  </si>
  <si>
    <t>Auction Date</t>
  </si>
  <si>
    <t>Realized Amount</t>
  </si>
  <si>
    <t>Weighted Average Yield (%)</t>
  </si>
  <si>
    <t>1-Month</t>
  </si>
  <si>
    <t>3-Month</t>
  </si>
  <si>
    <t>6-Month</t>
  </si>
  <si>
    <t>12-Month</t>
  </si>
  <si>
    <r>
      <t>1</t>
    </r>
    <r>
      <rPr>
        <vertAlign val="superscript"/>
        <sz val="11"/>
        <color theme="1"/>
        <rFont val="Aptos Narrow"/>
        <family val="2"/>
        <scheme val="minor"/>
      </rPr>
      <t>st</t>
    </r>
  </si>
  <si>
    <t>No Bid Received</t>
  </si>
  <si>
    <r>
      <t>2</t>
    </r>
    <r>
      <rPr>
        <vertAlign val="superscript"/>
        <sz val="11"/>
        <color theme="1"/>
        <rFont val="Aptos Narrow"/>
        <family val="2"/>
        <scheme val="minor"/>
      </rPr>
      <t>nd</t>
    </r>
  </si>
  <si>
    <r>
      <t>3</t>
    </r>
    <r>
      <rPr>
        <vertAlign val="superscript"/>
        <sz val="11"/>
        <color theme="1"/>
        <rFont val="Aptos Narrow"/>
        <family val="2"/>
        <scheme val="minor"/>
      </rPr>
      <t>rd</t>
    </r>
  </si>
  <si>
    <t>Bids Rejected</t>
  </si>
  <si>
    <r>
      <t>4</t>
    </r>
    <r>
      <rPr>
        <vertAlign val="superscript"/>
        <sz val="11"/>
        <color theme="1"/>
        <rFont val="Aptos Narrow"/>
        <family val="2"/>
        <scheme val="minor"/>
      </rPr>
      <t>th</t>
    </r>
  </si>
  <si>
    <r>
      <t>5</t>
    </r>
    <r>
      <rPr>
        <vertAlign val="superscript"/>
        <sz val="11"/>
        <color theme="1"/>
        <rFont val="Aptos Narrow"/>
        <family val="2"/>
        <scheme val="minor"/>
      </rPr>
      <t>th</t>
    </r>
  </si>
  <si>
    <r>
      <t>6</t>
    </r>
    <r>
      <rPr>
        <vertAlign val="superscript"/>
        <sz val="11"/>
        <color theme="1"/>
        <rFont val="Aptos Narrow"/>
        <family val="2"/>
        <scheme val="minor"/>
      </rPr>
      <t>th</t>
    </r>
  </si>
  <si>
    <r>
      <t>7</t>
    </r>
    <r>
      <rPr>
        <vertAlign val="superscript"/>
        <sz val="11"/>
        <color theme="1"/>
        <rFont val="Aptos Narrow"/>
        <family val="2"/>
        <scheme val="minor"/>
      </rPr>
      <t>th</t>
    </r>
  </si>
  <si>
    <r>
      <t>8</t>
    </r>
    <r>
      <rPr>
        <vertAlign val="superscript"/>
        <sz val="11"/>
        <color theme="1"/>
        <rFont val="Aptos Narrow"/>
        <family val="2"/>
        <scheme val="minor"/>
      </rPr>
      <t>th</t>
    </r>
  </si>
  <si>
    <r>
      <t>9</t>
    </r>
    <r>
      <rPr>
        <vertAlign val="superscript"/>
        <sz val="11"/>
        <color theme="1"/>
        <rFont val="Aptos Narrow"/>
        <family val="2"/>
        <scheme val="minor"/>
      </rPr>
      <t>th</t>
    </r>
  </si>
  <si>
    <r>
      <t>10</t>
    </r>
    <r>
      <rPr>
        <vertAlign val="superscript"/>
        <sz val="11"/>
        <color theme="1"/>
        <rFont val="Aptos Narrow"/>
        <family val="2"/>
        <scheme val="minor"/>
      </rPr>
      <t>th</t>
    </r>
  </si>
  <si>
    <r>
      <t>11</t>
    </r>
    <r>
      <rPr>
        <vertAlign val="superscript"/>
        <sz val="11"/>
        <color theme="1"/>
        <rFont val="Aptos Narrow"/>
        <family val="2"/>
        <scheme val="minor"/>
      </rPr>
      <t>th</t>
    </r>
  </si>
  <si>
    <r>
      <t>12</t>
    </r>
    <r>
      <rPr>
        <vertAlign val="superscript"/>
        <sz val="11"/>
        <color theme="1"/>
        <rFont val="Aptos Narrow"/>
        <family val="2"/>
        <scheme val="minor"/>
      </rPr>
      <t>th</t>
    </r>
  </si>
  <si>
    <r>
      <t>13</t>
    </r>
    <r>
      <rPr>
        <vertAlign val="superscript"/>
        <sz val="11"/>
        <color theme="1"/>
        <rFont val="Aptos Narrow"/>
        <family val="2"/>
        <scheme val="minor"/>
      </rPr>
      <t>th</t>
    </r>
  </si>
  <si>
    <r>
      <t>14</t>
    </r>
    <r>
      <rPr>
        <vertAlign val="superscript"/>
        <sz val="11"/>
        <color theme="1"/>
        <rFont val="Aptos Narrow"/>
        <family val="2"/>
        <scheme val="minor"/>
      </rPr>
      <t>th</t>
    </r>
  </si>
  <si>
    <r>
      <t>15</t>
    </r>
    <r>
      <rPr>
        <vertAlign val="superscript"/>
        <sz val="11"/>
        <color theme="1"/>
        <rFont val="Aptos Narrow"/>
        <family val="2"/>
        <scheme val="minor"/>
      </rPr>
      <t>th</t>
    </r>
  </si>
  <si>
    <r>
      <t>16</t>
    </r>
    <r>
      <rPr>
        <vertAlign val="superscript"/>
        <sz val="11"/>
        <color theme="1"/>
        <rFont val="Aptos Narrow"/>
        <family val="2"/>
        <scheme val="minor"/>
      </rPr>
      <t>th</t>
    </r>
  </si>
  <si>
    <r>
      <t>17</t>
    </r>
    <r>
      <rPr>
        <vertAlign val="superscript"/>
        <sz val="11"/>
        <color theme="1"/>
        <rFont val="Aptos Narrow"/>
        <family val="2"/>
        <scheme val="minor"/>
      </rPr>
      <t>th</t>
    </r>
  </si>
  <si>
    <r>
      <t>18</t>
    </r>
    <r>
      <rPr>
        <vertAlign val="superscript"/>
        <sz val="11"/>
        <color theme="1"/>
        <rFont val="Aptos Narrow"/>
        <family val="2"/>
        <scheme val="minor"/>
      </rPr>
      <t>th</t>
    </r>
  </si>
  <si>
    <r>
      <t>19</t>
    </r>
    <r>
      <rPr>
        <vertAlign val="superscript"/>
        <sz val="11"/>
        <color theme="1"/>
        <rFont val="Aptos Narrow"/>
        <family val="2"/>
        <scheme val="minor"/>
      </rPr>
      <t>th</t>
    </r>
  </si>
  <si>
    <r>
      <t>20</t>
    </r>
    <r>
      <rPr>
        <vertAlign val="superscript"/>
        <sz val="11"/>
        <color theme="1"/>
        <rFont val="Aptos Narrow"/>
        <family val="2"/>
        <scheme val="minor"/>
      </rPr>
      <t>th</t>
    </r>
  </si>
  <si>
    <r>
      <t>21</t>
    </r>
    <r>
      <rPr>
        <vertAlign val="superscript"/>
        <sz val="11"/>
        <color theme="1"/>
        <rFont val="Aptos Narrow"/>
        <family val="2"/>
        <scheme val="minor"/>
      </rPr>
      <t>st</t>
    </r>
  </si>
  <si>
    <r>
      <t>22</t>
    </r>
    <r>
      <rPr>
        <vertAlign val="superscript"/>
        <sz val="11"/>
        <color theme="1"/>
        <rFont val="Aptos Narrow"/>
        <family val="2"/>
        <scheme val="minor"/>
      </rPr>
      <t>nd</t>
    </r>
  </si>
  <si>
    <r>
      <t>23</t>
    </r>
    <r>
      <rPr>
        <vertAlign val="superscript"/>
        <sz val="11"/>
        <color theme="1"/>
        <rFont val="Aptos Narrow"/>
        <family val="2"/>
        <scheme val="minor"/>
      </rPr>
      <t>rd</t>
    </r>
  </si>
  <si>
    <r>
      <t>24</t>
    </r>
    <r>
      <rPr>
        <vertAlign val="superscript"/>
        <sz val="11"/>
        <color theme="1"/>
        <rFont val="Aptos Narrow"/>
        <family val="2"/>
        <scheme val="minor"/>
      </rPr>
      <t>th</t>
    </r>
  </si>
  <si>
    <r>
      <t>25</t>
    </r>
    <r>
      <rPr>
        <vertAlign val="superscript"/>
        <sz val="11"/>
        <color theme="1"/>
        <rFont val="Aptos Narrow"/>
        <family val="2"/>
        <scheme val="minor"/>
      </rPr>
      <t>th</t>
    </r>
  </si>
  <si>
    <r>
      <t>26</t>
    </r>
    <r>
      <rPr>
        <vertAlign val="superscript"/>
        <sz val="11"/>
        <color theme="1"/>
        <rFont val="Aptos Narrow"/>
        <family val="2"/>
        <scheme val="minor"/>
      </rPr>
      <t>th</t>
    </r>
  </si>
  <si>
    <r>
      <t>27</t>
    </r>
    <r>
      <rPr>
        <vertAlign val="superscript"/>
        <sz val="11"/>
        <color theme="1"/>
        <rFont val="Aptos Narrow"/>
        <family val="2"/>
        <scheme val="minor"/>
      </rPr>
      <t>th</t>
    </r>
  </si>
  <si>
    <r>
      <t>28</t>
    </r>
    <r>
      <rPr>
        <vertAlign val="superscript"/>
        <sz val="11"/>
        <color theme="1"/>
        <rFont val="Aptos Narrow"/>
        <family val="2"/>
        <scheme val="minor"/>
      </rPr>
      <t>th</t>
    </r>
  </si>
  <si>
    <r>
      <t>29</t>
    </r>
    <r>
      <rPr>
        <vertAlign val="superscript"/>
        <sz val="11"/>
        <color theme="1"/>
        <rFont val="Aptos Narrow"/>
        <family val="2"/>
        <scheme val="minor"/>
      </rPr>
      <t>th</t>
    </r>
  </si>
  <si>
    <r>
      <t>30</t>
    </r>
    <r>
      <rPr>
        <vertAlign val="superscript"/>
        <sz val="11"/>
        <color theme="1"/>
        <rFont val="Aptos Narrow"/>
        <family val="2"/>
        <scheme val="minor"/>
      </rPr>
      <t>th</t>
    </r>
  </si>
  <si>
    <r>
      <t>31</t>
    </r>
    <r>
      <rPr>
        <vertAlign val="superscript"/>
        <sz val="11"/>
        <color theme="1"/>
        <rFont val="Aptos Narrow"/>
        <family val="2"/>
        <scheme val="minor"/>
      </rPr>
      <t>st</t>
    </r>
  </si>
  <si>
    <r>
      <t>32</t>
    </r>
    <r>
      <rPr>
        <vertAlign val="superscript"/>
        <sz val="11"/>
        <color theme="1"/>
        <rFont val="Aptos Narrow"/>
        <family val="2"/>
        <scheme val="minor"/>
      </rPr>
      <t>nd</t>
    </r>
  </si>
  <si>
    <r>
      <t>33</t>
    </r>
    <r>
      <rPr>
        <vertAlign val="superscript"/>
        <sz val="11"/>
        <color theme="1"/>
        <rFont val="Aptos Narrow"/>
        <family val="2"/>
        <scheme val="minor"/>
      </rPr>
      <t>rd</t>
    </r>
  </si>
  <si>
    <r>
      <t>34</t>
    </r>
    <r>
      <rPr>
        <vertAlign val="superscript"/>
        <sz val="11"/>
        <color theme="1"/>
        <rFont val="Aptos Narrow"/>
        <family val="2"/>
        <scheme val="minor"/>
      </rPr>
      <t>th</t>
    </r>
  </si>
  <si>
    <r>
      <t>35</t>
    </r>
    <r>
      <rPr>
        <vertAlign val="superscript"/>
        <sz val="11"/>
        <color theme="1"/>
        <rFont val="Aptos Narrow"/>
        <family val="2"/>
        <scheme val="minor"/>
      </rPr>
      <t>th</t>
    </r>
  </si>
  <si>
    <r>
      <t>36</t>
    </r>
    <r>
      <rPr>
        <vertAlign val="superscript"/>
        <sz val="11"/>
        <color theme="1"/>
        <rFont val="Aptos Narrow"/>
        <family val="2"/>
        <scheme val="minor"/>
      </rPr>
      <t>th</t>
    </r>
  </si>
  <si>
    <r>
      <t>37</t>
    </r>
    <r>
      <rPr>
        <vertAlign val="superscript"/>
        <sz val="11"/>
        <color theme="1"/>
        <rFont val="Aptos Narrow"/>
        <family val="2"/>
        <scheme val="minor"/>
      </rPr>
      <t>th</t>
    </r>
  </si>
  <si>
    <r>
      <t>38</t>
    </r>
    <r>
      <rPr>
        <vertAlign val="superscript"/>
        <sz val="11"/>
        <color theme="1"/>
        <rFont val="Aptos Narrow"/>
        <family val="2"/>
        <scheme val="minor"/>
      </rPr>
      <t>th</t>
    </r>
  </si>
  <si>
    <r>
      <t>39</t>
    </r>
    <r>
      <rPr>
        <vertAlign val="superscript"/>
        <sz val="11"/>
        <color theme="1"/>
        <rFont val="Aptos Narrow"/>
        <family val="2"/>
        <scheme val="minor"/>
      </rPr>
      <t>th</t>
    </r>
  </si>
  <si>
    <r>
      <t>40</t>
    </r>
    <r>
      <rPr>
        <vertAlign val="superscript"/>
        <sz val="11"/>
        <color theme="1"/>
        <rFont val="Aptos Narrow"/>
        <family val="2"/>
        <scheme val="minor"/>
      </rPr>
      <t>th</t>
    </r>
  </si>
  <si>
    <r>
      <t>41</t>
    </r>
    <r>
      <rPr>
        <vertAlign val="superscript"/>
        <sz val="11"/>
        <color theme="1"/>
        <rFont val="Aptos Narrow"/>
        <family val="2"/>
        <scheme val="minor"/>
      </rPr>
      <t>st</t>
    </r>
  </si>
  <si>
    <r>
      <t>42</t>
    </r>
    <r>
      <rPr>
        <vertAlign val="superscript"/>
        <sz val="11"/>
        <color theme="1"/>
        <rFont val="Aptos Narrow"/>
        <family val="2"/>
        <scheme val="minor"/>
      </rPr>
      <t>nd</t>
    </r>
  </si>
  <si>
    <r>
      <t>43</t>
    </r>
    <r>
      <rPr>
        <vertAlign val="superscript"/>
        <sz val="11"/>
        <color theme="1"/>
        <rFont val="Aptos Narrow"/>
        <family val="2"/>
        <scheme val="minor"/>
      </rPr>
      <t>rd</t>
    </r>
  </si>
  <si>
    <r>
      <t>44</t>
    </r>
    <r>
      <rPr>
        <vertAlign val="superscript"/>
        <sz val="11"/>
        <color theme="1"/>
        <rFont val="Aptos Narrow"/>
        <family val="2"/>
        <scheme val="minor"/>
      </rPr>
      <t>th</t>
    </r>
  </si>
  <si>
    <r>
      <t>45</t>
    </r>
    <r>
      <rPr>
        <vertAlign val="superscript"/>
        <sz val="11"/>
        <color theme="1"/>
        <rFont val="Aptos Narrow"/>
        <family val="2"/>
        <scheme val="minor"/>
      </rPr>
      <t>th</t>
    </r>
  </si>
  <si>
    <r>
      <t>46</t>
    </r>
    <r>
      <rPr>
        <vertAlign val="superscript"/>
        <sz val="11"/>
        <color theme="1"/>
        <rFont val="Aptos Narrow"/>
        <family val="2"/>
        <scheme val="minor"/>
      </rPr>
      <t>th</t>
    </r>
  </si>
  <si>
    <r>
      <t>47</t>
    </r>
    <r>
      <rPr>
        <vertAlign val="superscript"/>
        <sz val="11"/>
        <color theme="1"/>
        <rFont val="Aptos Narrow"/>
        <family val="2"/>
        <scheme val="minor"/>
      </rPr>
      <t>th</t>
    </r>
  </si>
  <si>
    <r>
      <t>48</t>
    </r>
    <r>
      <rPr>
        <vertAlign val="superscript"/>
        <sz val="11"/>
        <color theme="1"/>
        <rFont val="Aptos Narrow"/>
        <family val="2"/>
        <scheme val="minor"/>
      </rPr>
      <t>th</t>
    </r>
  </si>
  <si>
    <r>
      <t>49</t>
    </r>
    <r>
      <rPr>
        <vertAlign val="superscript"/>
        <sz val="11"/>
        <color theme="1"/>
        <rFont val="Aptos Narrow"/>
        <family val="2"/>
        <scheme val="minor"/>
      </rPr>
      <t>th</t>
    </r>
  </si>
  <si>
    <r>
      <t>50</t>
    </r>
    <r>
      <rPr>
        <vertAlign val="superscript"/>
        <sz val="11"/>
        <color theme="1"/>
        <rFont val="Aptos Narrow"/>
        <family val="2"/>
        <scheme val="minor"/>
      </rPr>
      <t>th</t>
    </r>
  </si>
  <si>
    <r>
      <t>51</t>
    </r>
    <r>
      <rPr>
        <vertAlign val="superscript"/>
        <sz val="11"/>
        <color theme="1"/>
        <rFont val="Aptos Narrow"/>
        <family val="2"/>
        <scheme val="minor"/>
      </rPr>
      <t>st</t>
    </r>
  </si>
  <si>
    <r>
      <t>52</t>
    </r>
    <r>
      <rPr>
        <vertAlign val="superscript"/>
        <sz val="11"/>
        <color theme="1"/>
        <rFont val="Aptos Narrow"/>
        <family val="2"/>
        <scheme val="minor"/>
      </rPr>
      <t>nd</t>
    </r>
  </si>
  <si>
    <r>
      <t>53</t>
    </r>
    <r>
      <rPr>
        <vertAlign val="superscript"/>
        <sz val="11"/>
        <color theme="1"/>
        <rFont val="Aptos Narrow"/>
        <family val="2"/>
        <scheme val="minor"/>
      </rPr>
      <t>rd</t>
    </r>
  </si>
  <si>
    <r>
      <t>54</t>
    </r>
    <r>
      <rPr>
        <vertAlign val="superscript"/>
        <sz val="11"/>
        <color theme="1"/>
        <rFont val="Aptos Narrow"/>
        <family val="2"/>
        <scheme val="minor"/>
      </rPr>
      <t>th</t>
    </r>
  </si>
  <si>
    <r>
      <t>55</t>
    </r>
    <r>
      <rPr>
        <vertAlign val="superscript"/>
        <sz val="11"/>
        <color theme="1"/>
        <rFont val="Aptos Narrow"/>
        <family val="2"/>
        <scheme val="minor"/>
      </rPr>
      <t>th</t>
    </r>
  </si>
  <si>
    <r>
      <t>56</t>
    </r>
    <r>
      <rPr>
        <vertAlign val="superscript"/>
        <sz val="11"/>
        <color theme="1"/>
        <rFont val="Aptos Narrow"/>
        <family val="2"/>
        <scheme val="minor"/>
      </rPr>
      <t>th</t>
    </r>
  </si>
  <si>
    <r>
      <t>57</t>
    </r>
    <r>
      <rPr>
        <vertAlign val="superscript"/>
        <sz val="11"/>
        <color theme="1"/>
        <rFont val="Aptos Narrow"/>
        <family val="2"/>
        <scheme val="minor"/>
      </rPr>
      <t>th</t>
    </r>
  </si>
  <si>
    <r>
      <t>58</t>
    </r>
    <r>
      <rPr>
        <vertAlign val="superscript"/>
        <sz val="11"/>
        <color theme="1"/>
        <rFont val="Aptos Narrow"/>
        <family val="2"/>
        <scheme val="minor"/>
      </rPr>
      <t>th</t>
    </r>
  </si>
  <si>
    <r>
      <t>59</t>
    </r>
    <r>
      <rPr>
        <vertAlign val="superscript"/>
        <sz val="11"/>
        <color theme="1"/>
        <rFont val="Aptos Narrow"/>
        <family val="2"/>
        <scheme val="minor"/>
      </rPr>
      <t>th</t>
    </r>
  </si>
  <si>
    <r>
      <t>60</t>
    </r>
    <r>
      <rPr>
        <vertAlign val="superscript"/>
        <sz val="11"/>
        <color theme="1"/>
        <rFont val="Aptos Narrow"/>
        <family val="2"/>
        <scheme val="minor"/>
      </rPr>
      <t>th</t>
    </r>
  </si>
  <si>
    <r>
      <t>61</t>
    </r>
    <r>
      <rPr>
        <vertAlign val="superscript"/>
        <sz val="11"/>
        <color theme="1"/>
        <rFont val="Aptos Narrow"/>
        <family val="2"/>
        <scheme val="minor"/>
      </rPr>
      <t>st</t>
    </r>
  </si>
  <si>
    <r>
      <t>62</t>
    </r>
    <r>
      <rPr>
        <vertAlign val="superscript"/>
        <sz val="11"/>
        <color theme="1"/>
        <rFont val="Aptos Narrow"/>
        <family val="2"/>
        <scheme val="minor"/>
      </rPr>
      <t>nd</t>
    </r>
  </si>
  <si>
    <r>
      <t>63</t>
    </r>
    <r>
      <rPr>
        <vertAlign val="superscript"/>
        <sz val="11"/>
        <color theme="1"/>
        <rFont val="Aptos Narrow"/>
        <family val="2"/>
        <scheme val="minor"/>
      </rPr>
      <t>rd</t>
    </r>
  </si>
  <si>
    <r>
      <t>64</t>
    </r>
    <r>
      <rPr>
        <vertAlign val="superscript"/>
        <sz val="11"/>
        <color theme="1"/>
        <rFont val="Aptos Narrow"/>
        <family val="2"/>
        <scheme val="minor"/>
      </rPr>
      <t>th</t>
    </r>
  </si>
  <si>
    <r>
      <t>65</t>
    </r>
    <r>
      <rPr>
        <vertAlign val="superscript"/>
        <sz val="11"/>
        <color theme="1"/>
        <rFont val="Aptos Narrow"/>
        <family val="2"/>
        <scheme val="minor"/>
      </rPr>
      <t>th</t>
    </r>
  </si>
  <si>
    <r>
      <t>66</t>
    </r>
    <r>
      <rPr>
        <vertAlign val="superscript"/>
        <sz val="11"/>
        <color theme="1"/>
        <rFont val="Aptos Narrow"/>
        <family val="2"/>
        <scheme val="minor"/>
      </rPr>
      <t>th</t>
    </r>
  </si>
  <si>
    <r>
      <t>67</t>
    </r>
    <r>
      <rPr>
        <vertAlign val="superscript"/>
        <sz val="11"/>
        <color theme="1"/>
        <rFont val="Aptos Narrow"/>
        <family val="2"/>
        <scheme val="minor"/>
      </rPr>
      <t>th</t>
    </r>
  </si>
  <si>
    <r>
      <t>68</t>
    </r>
    <r>
      <rPr>
        <vertAlign val="superscript"/>
        <sz val="11"/>
        <color theme="1"/>
        <rFont val="Aptos Narrow"/>
        <family val="2"/>
        <scheme val="minor"/>
      </rPr>
      <t>th</t>
    </r>
  </si>
  <si>
    <r>
      <t>69</t>
    </r>
    <r>
      <rPr>
        <vertAlign val="superscript"/>
        <sz val="11"/>
        <color theme="1"/>
        <rFont val="Aptos Narrow"/>
        <family val="2"/>
        <scheme val="minor"/>
      </rPr>
      <t>th</t>
    </r>
  </si>
  <si>
    <r>
      <t>70</t>
    </r>
    <r>
      <rPr>
        <vertAlign val="superscript"/>
        <sz val="11"/>
        <color theme="1"/>
        <rFont val="Aptos Narrow"/>
        <family val="2"/>
        <scheme val="minor"/>
      </rPr>
      <t>th</t>
    </r>
  </si>
  <si>
    <r>
      <t>71</t>
    </r>
    <r>
      <rPr>
        <vertAlign val="superscript"/>
        <sz val="11"/>
        <color theme="1"/>
        <rFont val="Aptos Narrow"/>
        <family val="2"/>
        <scheme val="minor"/>
      </rPr>
      <t>st</t>
    </r>
  </si>
  <si>
    <r>
      <t>72</t>
    </r>
    <r>
      <rPr>
        <vertAlign val="superscript"/>
        <sz val="11"/>
        <color theme="1"/>
        <rFont val="Aptos Narrow"/>
        <family val="2"/>
        <scheme val="minor"/>
      </rPr>
      <t>nd</t>
    </r>
  </si>
  <si>
    <r>
      <t>73</t>
    </r>
    <r>
      <rPr>
        <vertAlign val="superscript"/>
        <sz val="11"/>
        <color theme="1"/>
        <rFont val="Aptos Narrow"/>
        <family val="2"/>
        <scheme val="minor"/>
      </rPr>
      <t>rd</t>
    </r>
  </si>
  <si>
    <r>
      <t>74</t>
    </r>
    <r>
      <rPr>
        <vertAlign val="superscript"/>
        <sz val="11"/>
        <color theme="1"/>
        <rFont val="Aptos Narrow"/>
        <family val="2"/>
        <scheme val="minor"/>
      </rPr>
      <t>th</t>
    </r>
  </si>
  <si>
    <r>
      <t>75</t>
    </r>
    <r>
      <rPr>
        <vertAlign val="superscript"/>
        <sz val="11"/>
        <color theme="1"/>
        <rFont val="Aptos Narrow"/>
        <family val="2"/>
        <scheme val="minor"/>
      </rPr>
      <t>th</t>
    </r>
  </si>
  <si>
    <r>
      <t>76</t>
    </r>
    <r>
      <rPr>
        <vertAlign val="superscript"/>
        <sz val="11"/>
        <color theme="1"/>
        <rFont val="Aptos Narrow"/>
        <family val="2"/>
        <scheme val="minor"/>
      </rPr>
      <t>th</t>
    </r>
  </si>
  <si>
    <r>
      <t>77</t>
    </r>
    <r>
      <rPr>
        <vertAlign val="superscript"/>
        <sz val="11"/>
        <color theme="1"/>
        <rFont val="Aptos Narrow"/>
        <family val="2"/>
        <scheme val="minor"/>
      </rPr>
      <t>th</t>
    </r>
  </si>
  <si>
    <r>
      <t>78</t>
    </r>
    <r>
      <rPr>
        <vertAlign val="superscript"/>
        <sz val="11"/>
        <color theme="1"/>
        <rFont val="Aptos Narrow"/>
        <family val="2"/>
        <scheme val="minor"/>
      </rPr>
      <t>th</t>
    </r>
  </si>
  <si>
    <r>
      <t>79</t>
    </r>
    <r>
      <rPr>
        <vertAlign val="superscript"/>
        <sz val="11"/>
        <color theme="1"/>
        <rFont val="Aptos Narrow"/>
        <family val="2"/>
        <scheme val="minor"/>
      </rPr>
      <t>th</t>
    </r>
  </si>
  <si>
    <r>
      <t>80</t>
    </r>
    <r>
      <rPr>
        <vertAlign val="superscript"/>
        <sz val="11"/>
        <color theme="1"/>
        <rFont val="Aptos Narrow"/>
        <family val="2"/>
        <scheme val="minor"/>
      </rPr>
      <t>th</t>
    </r>
  </si>
  <si>
    <r>
      <t>81</t>
    </r>
    <r>
      <rPr>
        <vertAlign val="superscript"/>
        <sz val="11"/>
        <color theme="1"/>
        <rFont val="Aptos Narrow"/>
        <family val="2"/>
        <scheme val="minor"/>
      </rPr>
      <t>st</t>
    </r>
  </si>
  <si>
    <r>
      <t>82</t>
    </r>
    <r>
      <rPr>
        <vertAlign val="superscript"/>
        <sz val="11"/>
        <color theme="1"/>
        <rFont val="Aptos Narrow"/>
        <family val="2"/>
        <scheme val="minor"/>
      </rPr>
      <t>nd</t>
    </r>
  </si>
  <si>
    <r>
      <t>83</t>
    </r>
    <r>
      <rPr>
        <vertAlign val="superscript"/>
        <sz val="11"/>
        <color theme="1"/>
        <rFont val="Aptos Narrow"/>
        <family val="2"/>
        <scheme val="minor"/>
      </rPr>
      <t>rd</t>
    </r>
  </si>
  <si>
    <r>
      <t>84</t>
    </r>
    <r>
      <rPr>
        <vertAlign val="superscript"/>
        <sz val="11"/>
        <color theme="1"/>
        <rFont val="Aptos Narrow"/>
        <family val="2"/>
        <scheme val="minor"/>
      </rPr>
      <t>th</t>
    </r>
  </si>
  <si>
    <r>
      <t>85</t>
    </r>
    <r>
      <rPr>
        <vertAlign val="superscript"/>
        <sz val="11"/>
        <color theme="1"/>
        <rFont val="Aptos Narrow"/>
        <family val="2"/>
        <scheme val="minor"/>
      </rPr>
      <t>th</t>
    </r>
  </si>
  <si>
    <r>
      <t>86</t>
    </r>
    <r>
      <rPr>
        <vertAlign val="superscript"/>
        <sz val="11"/>
        <color theme="1"/>
        <rFont val="Aptos Narrow"/>
        <family val="2"/>
        <scheme val="minor"/>
      </rPr>
      <t>th</t>
    </r>
  </si>
  <si>
    <r>
      <t>87</t>
    </r>
    <r>
      <rPr>
        <vertAlign val="superscript"/>
        <sz val="11"/>
        <color theme="1"/>
        <rFont val="Aptos Narrow"/>
        <family val="2"/>
        <scheme val="minor"/>
      </rPr>
      <t>th</t>
    </r>
  </si>
  <si>
    <r>
      <t>88</t>
    </r>
    <r>
      <rPr>
        <vertAlign val="superscript"/>
        <sz val="11"/>
        <color theme="1"/>
        <rFont val="Aptos Narrow"/>
        <family val="2"/>
        <scheme val="minor"/>
      </rPr>
      <t>th</t>
    </r>
  </si>
  <si>
    <r>
      <t>89</t>
    </r>
    <r>
      <rPr>
        <vertAlign val="superscript"/>
        <sz val="11"/>
        <color theme="1"/>
        <rFont val="Aptos Narrow"/>
        <family val="2"/>
        <scheme val="minor"/>
      </rPr>
      <t>th</t>
    </r>
  </si>
  <si>
    <r>
      <t>90</t>
    </r>
    <r>
      <rPr>
        <vertAlign val="superscript"/>
        <sz val="11"/>
        <color theme="1"/>
        <rFont val="Aptos Narrow"/>
        <family val="2"/>
        <scheme val="minor"/>
      </rPr>
      <t>th</t>
    </r>
  </si>
  <si>
    <r>
      <t>91</t>
    </r>
    <r>
      <rPr>
        <vertAlign val="superscript"/>
        <sz val="11"/>
        <color theme="1"/>
        <rFont val="Aptos Narrow"/>
        <family val="2"/>
        <scheme val="minor"/>
      </rPr>
      <t>st</t>
    </r>
  </si>
  <si>
    <r>
      <t>92</t>
    </r>
    <r>
      <rPr>
        <vertAlign val="superscript"/>
        <sz val="11"/>
        <color theme="1"/>
        <rFont val="Aptos Narrow"/>
        <family val="2"/>
        <scheme val="minor"/>
      </rPr>
      <t>nd</t>
    </r>
  </si>
  <si>
    <r>
      <t>93</t>
    </r>
    <r>
      <rPr>
        <vertAlign val="superscript"/>
        <sz val="11"/>
        <color theme="1"/>
        <rFont val="Aptos Narrow"/>
        <family val="2"/>
        <scheme val="minor"/>
      </rPr>
      <t>rd</t>
    </r>
  </si>
  <si>
    <r>
      <t>94</t>
    </r>
    <r>
      <rPr>
        <vertAlign val="superscript"/>
        <sz val="11"/>
        <color theme="1"/>
        <rFont val="Aptos Narrow"/>
        <family val="2"/>
        <scheme val="minor"/>
      </rPr>
      <t>th</t>
    </r>
  </si>
  <si>
    <r>
      <t>95</t>
    </r>
    <r>
      <rPr>
        <vertAlign val="superscript"/>
        <sz val="11"/>
        <color theme="1"/>
        <rFont val="Aptos Narrow"/>
        <family val="2"/>
        <scheme val="minor"/>
      </rPr>
      <t>th</t>
    </r>
  </si>
  <si>
    <r>
      <t>96</t>
    </r>
    <r>
      <rPr>
        <vertAlign val="superscript"/>
        <sz val="11"/>
        <color theme="1"/>
        <rFont val="Aptos Narrow"/>
        <family val="2"/>
        <scheme val="minor"/>
      </rPr>
      <t>th</t>
    </r>
  </si>
  <si>
    <r>
      <t>97</t>
    </r>
    <r>
      <rPr>
        <vertAlign val="superscript"/>
        <sz val="11"/>
        <color theme="1"/>
        <rFont val="Aptos Narrow"/>
        <family val="2"/>
        <scheme val="minor"/>
      </rPr>
      <t>th</t>
    </r>
  </si>
  <si>
    <r>
      <t>98</t>
    </r>
    <r>
      <rPr>
        <vertAlign val="superscript"/>
        <sz val="11"/>
        <color theme="1"/>
        <rFont val="Aptos Narrow"/>
        <family val="2"/>
        <scheme val="minor"/>
      </rPr>
      <t>th</t>
    </r>
  </si>
  <si>
    <r>
      <t>99</t>
    </r>
    <r>
      <rPr>
        <vertAlign val="superscript"/>
        <sz val="11"/>
        <color theme="1"/>
        <rFont val="Aptos Narrow"/>
        <family val="2"/>
        <scheme val="minor"/>
      </rPr>
      <t>th</t>
    </r>
  </si>
  <si>
    <r>
      <t>100</t>
    </r>
    <r>
      <rPr>
        <vertAlign val="superscript"/>
        <sz val="11"/>
        <color theme="1"/>
        <rFont val="Aptos Narrow"/>
        <family val="2"/>
        <scheme val="minor"/>
      </rPr>
      <t>th</t>
    </r>
  </si>
  <si>
    <r>
      <t>101</t>
    </r>
    <r>
      <rPr>
        <vertAlign val="superscript"/>
        <sz val="11"/>
        <color theme="1"/>
        <rFont val="Aptos Narrow"/>
        <family val="2"/>
        <scheme val="minor"/>
      </rPr>
      <t>st</t>
    </r>
  </si>
  <si>
    <r>
      <t>102</t>
    </r>
    <r>
      <rPr>
        <vertAlign val="superscript"/>
        <sz val="11"/>
        <color theme="1"/>
        <rFont val="Aptos Narrow"/>
        <family val="2"/>
        <scheme val="minor"/>
      </rPr>
      <t>nd</t>
    </r>
  </si>
  <si>
    <r>
      <t>103</t>
    </r>
    <r>
      <rPr>
        <vertAlign val="superscript"/>
        <sz val="11"/>
        <color theme="1"/>
        <rFont val="Aptos Narrow"/>
        <family val="2"/>
        <scheme val="minor"/>
      </rPr>
      <t>rd</t>
    </r>
  </si>
  <si>
    <r>
      <t>104</t>
    </r>
    <r>
      <rPr>
        <vertAlign val="superscript"/>
        <sz val="11"/>
        <color theme="1"/>
        <rFont val="Aptos Narrow"/>
        <family val="2"/>
        <scheme val="minor"/>
      </rPr>
      <t>th</t>
    </r>
  </si>
  <si>
    <r>
      <t>105</t>
    </r>
    <r>
      <rPr>
        <vertAlign val="superscript"/>
        <sz val="11"/>
        <color theme="1"/>
        <rFont val="Aptos Narrow"/>
        <family val="2"/>
        <scheme val="minor"/>
      </rPr>
      <t>th</t>
    </r>
  </si>
  <si>
    <r>
      <t>106</t>
    </r>
    <r>
      <rPr>
        <vertAlign val="superscript"/>
        <sz val="11"/>
        <color theme="1"/>
        <rFont val="Aptos Narrow"/>
        <family val="2"/>
        <scheme val="minor"/>
      </rPr>
      <t>th</t>
    </r>
  </si>
  <si>
    <r>
      <t>107</t>
    </r>
    <r>
      <rPr>
        <vertAlign val="superscript"/>
        <sz val="11"/>
        <color theme="1"/>
        <rFont val="Aptos Narrow"/>
        <family val="2"/>
        <scheme val="minor"/>
      </rPr>
      <t>th</t>
    </r>
  </si>
  <si>
    <r>
      <t>108</t>
    </r>
    <r>
      <rPr>
        <vertAlign val="superscript"/>
        <sz val="11"/>
        <color theme="1"/>
        <rFont val="Aptos Narrow"/>
        <family val="2"/>
        <scheme val="minor"/>
      </rPr>
      <t>th</t>
    </r>
  </si>
  <si>
    <r>
      <t>109</t>
    </r>
    <r>
      <rPr>
        <vertAlign val="superscript"/>
        <sz val="11"/>
        <color theme="1"/>
        <rFont val="Aptos Narrow"/>
        <family val="2"/>
        <scheme val="minor"/>
      </rPr>
      <t>th</t>
    </r>
  </si>
  <si>
    <r>
      <t>110</t>
    </r>
    <r>
      <rPr>
        <vertAlign val="superscript"/>
        <sz val="11"/>
        <color theme="1"/>
        <rFont val="Aptos Narrow"/>
        <family val="2"/>
        <scheme val="minor"/>
      </rPr>
      <t>th</t>
    </r>
  </si>
  <si>
    <r>
      <t>111</t>
    </r>
    <r>
      <rPr>
        <vertAlign val="superscript"/>
        <sz val="11"/>
        <color theme="1"/>
        <rFont val="Aptos Narrow"/>
        <family val="2"/>
        <scheme val="minor"/>
      </rPr>
      <t>th</t>
    </r>
  </si>
  <si>
    <r>
      <t>112</t>
    </r>
    <r>
      <rPr>
        <vertAlign val="superscript"/>
        <sz val="11"/>
        <color theme="1"/>
        <rFont val="Aptos Narrow"/>
        <family val="2"/>
        <scheme val="minor"/>
      </rPr>
      <t>th</t>
    </r>
  </si>
  <si>
    <r>
      <t>113</t>
    </r>
    <r>
      <rPr>
        <vertAlign val="superscript"/>
        <sz val="11"/>
        <color theme="1"/>
        <rFont val="Aptos Narrow"/>
        <family val="2"/>
        <scheme val="minor"/>
      </rPr>
      <t>th</t>
    </r>
  </si>
  <si>
    <r>
      <t>114</t>
    </r>
    <r>
      <rPr>
        <vertAlign val="superscript"/>
        <sz val="11"/>
        <color theme="1"/>
        <rFont val="Aptos Narrow"/>
        <family val="2"/>
        <scheme val="minor"/>
      </rPr>
      <t>th</t>
    </r>
  </si>
  <si>
    <r>
      <t>115</t>
    </r>
    <r>
      <rPr>
        <vertAlign val="superscript"/>
        <sz val="11"/>
        <color theme="1"/>
        <rFont val="Aptos Narrow"/>
        <family val="2"/>
        <scheme val="minor"/>
      </rPr>
      <t>th</t>
    </r>
  </si>
  <si>
    <r>
      <t>116</t>
    </r>
    <r>
      <rPr>
        <vertAlign val="superscript"/>
        <sz val="11"/>
        <color theme="1"/>
        <rFont val="Aptos Narrow"/>
        <family val="2"/>
        <scheme val="minor"/>
      </rPr>
      <t>th</t>
    </r>
  </si>
  <si>
    <r>
      <t>117</t>
    </r>
    <r>
      <rPr>
        <vertAlign val="superscript"/>
        <sz val="11"/>
        <color theme="1"/>
        <rFont val="Aptos Narrow"/>
        <family val="2"/>
        <scheme val="minor"/>
      </rPr>
      <t>th</t>
    </r>
  </si>
  <si>
    <r>
      <t>118</t>
    </r>
    <r>
      <rPr>
        <vertAlign val="superscript"/>
        <sz val="11"/>
        <color theme="1"/>
        <rFont val="Aptos Narrow"/>
        <family val="2"/>
        <scheme val="minor"/>
      </rPr>
      <t>th</t>
    </r>
  </si>
  <si>
    <r>
      <t>119</t>
    </r>
    <r>
      <rPr>
        <vertAlign val="superscript"/>
        <sz val="11"/>
        <color theme="1"/>
        <rFont val="Aptos Narrow"/>
        <family val="2"/>
        <scheme val="minor"/>
      </rPr>
      <t>th</t>
    </r>
  </si>
  <si>
    <r>
      <t>120</t>
    </r>
    <r>
      <rPr>
        <vertAlign val="superscript"/>
        <sz val="11"/>
        <color theme="1"/>
        <rFont val="Aptos Narrow"/>
        <family val="2"/>
        <scheme val="minor"/>
      </rPr>
      <t>th</t>
    </r>
  </si>
  <si>
    <r>
      <t>121</t>
    </r>
    <r>
      <rPr>
        <vertAlign val="superscript"/>
        <sz val="11"/>
        <color theme="1"/>
        <rFont val="Aptos Narrow"/>
        <family val="2"/>
        <scheme val="minor"/>
      </rPr>
      <t>st</t>
    </r>
  </si>
  <si>
    <r>
      <t>122</t>
    </r>
    <r>
      <rPr>
        <vertAlign val="superscript"/>
        <sz val="11"/>
        <color theme="1"/>
        <rFont val="Aptos Narrow"/>
        <family val="2"/>
        <scheme val="minor"/>
      </rPr>
      <t>nd</t>
    </r>
  </si>
  <si>
    <r>
      <t>123</t>
    </r>
    <r>
      <rPr>
        <vertAlign val="superscript"/>
        <sz val="11"/>
        <color theme="1"/>
        <rFont val="Aptos Narrow"/>
        <family val="2"/>
        <scheme val="minor"/>
      </rPr>
      <t>rd</t>
    </r>
  </si>
  <si>
    <r>
      <t>124</t>
    </r>
    <r>
      <rPr>
        <vertAlign val="superscript"/>
        <sz val="11"/>
        <color theme="1"/>
        <rFont val="Aptos Narrow"/>
        <family val="2"/>
        <scheme val="minor"/>
      </rPr>
      <t>th</t>
    </r>
  </si>
  <si>
    <r>
      <t>125</t>
    </r>
    <r>
      <rPr>
        <vertAlign val="superscript"/>
        <sz val="11"/>
        <color theme="1"/>
        <rFont val="Aptos Narrow"/>
        <family val="2"/>
        <scheme val="minor"/>
      </rPr>
      <t>th</t>
    </r>
  </si>
  <si>
    <r>
      <t>126</t>
    </r>
    <r>
      <rPr>
        <vertAlign val="superscript"/>
        <sz val="11"/>
        <color theme="1"/>
        <rFont val="Aptos Narrow"/>
        <family val="2"/>
        <scheme val="minor"/>
      </rPr>
      <t>th</t>
    </r>
  </si>
  <si>
    <r>
      <t>127</t>
    </r>
    <r>
      <rPr>
        <vertAlign val="superscript"/>
        <sz val="11"/>
        <color theme="1"/>
        <rFont val="Aptos Narrow"/>
        <family val="2"/>
        <scheme val="minor"/>
      </rPr>
      <t>th</t>
    </r>
  </si>
  <si>
    <r>
      <t>128</t>
    </r>
    <r>
      <rPr>
        <vertAlign val="superscript"/>
        <sz val="11"/>
        <color theme="1"/>
        <rFont val="Aptos Narrow"/>
        <family val="2"/>
        <scheme val="minor"/>
      </rPr>
      <t>th</t>
    </r>
  </si>
  <si>
    <r>
      <t>129</t>
    </r>
    <r>
      <rPr>
        <vertAlign val="superscript"/>
        <sz val="11"/>
        <color theme="1"/>
        <rFont val="Aptos Narrow"/>
        <family val="2"/>
        <scheme val="minor"/>
      </rPr>
      <t>th</t>
    </r>
  </si>
  <si>
    <r>
      <t>130</t>
    </r>
    <r>
      <rPr>
        <vertAlign val="superscript"/>
        <sz val="11"/>
        <color theme="1"/>
        <rFont val="Aptos Narrow"/>
        <family val="2"/>
        <scheme val="minor"/>
      </rPr>
      <t>th</t>
    </r>
  </si>
  <si>
    <r>
      <t>131</t>
    </r>
    <r>
      <rPr>
        <vertAlign val="superscript"/>
        <sz val="11"/>
        <color theme="1"/>
        <rFont val="Aptos Narrow"/>
        <family val="2"/>
        <scheme val="minor"/>
      </rPr>
      <t>st</t>
    </r>
  </si>
  <si>
    <r>
      <t>132</t>
    </r>
    <r>
      <rPr>
        <vertAlign val="superscript"/>
        <sz val="11"/>
        <color theme="1"/>
        <rFont val="Aptos Narrow"/>
        <family val="2"/>
        <scheme val="minor"/>
      </rPr>
      <t>nd</t>
    </r>
  </si>
  <si>
    <r>
      <t>133</t>
    </r>
    <r>
      <rPr>
        <vertAlign val="superscript"/>
        <sz val="11"/>
        <color theme="1"/>
        <rFont val="Aptos Narrow"/>
        <family val="2"/>
        <scheme val="minor"/>
      </rPr>
      <t>rd</t>
    </r>
  </si>
  <si>
    <r>
      <t>134</t>
    </r>
    <r>
      <rPr>
        <vertAlign val="superscript"/>
        <sz val="11"/>
        <color theme="1"/>
        <rFont val="Aptos Narrow"/>
        <family val="2"/>
        <scheme val="minor"/>
      </rPr>
      <t>th</t>
    </r>
  </si>
  <si>
    <r>
      <t>135</t>
    </r>
    <r>
      <rPr>
        <vertAlign val="superscript"/>
        <sz val="11"/>
        <color theme="1"/>
        <rFont val="Aptos Narrow"/>
        <family val="2"/>
        <scheme val="minor"/>
      </rPr>
      <t>th</t>
    </r>
  </si>
  <si>
    <r>
      <t>136</t>
    </r>
    <r>
      <rPr>
        <vertAlign val="superscript"/>
        <sz val="11"/>
        <color theme="1"/>
        <rFont val="Aptos Narrow"/>
        <family val="2"/>
        <scheme val="minor"/>
      </rPr>
      <t>th</t>
    </r>
  </si>
  <si>
    <r>
      <t>137</t>
    </r>
    <r>
      <rPr>
        <vertAlign val="superscript"/>
        <sz val="11"/>
        <color theme="1"/>
        <rFont val="Aptos Narrow"/>
        <family val="2"/>
        <scheme val="minor"/>
      </rPr>
      <t>th</t>
    </r>
  </si>
  <si>
    <r>
      <t>138</t>
    </r>
    <r>
      <rPr>
        <vertAlign val="superscript"/>
        <sz val="11"/>
        <color theme="1"/>
        <rFont val="Aptos Narrow"/>
        <family val="2"/>
        <scheme val="minor"/>
      </rPr>
      <t>th</t>
    </r>
  </si>
  <si>
    <r>
      <t>139</t>
    </r>
    <r>
      <rPr>
        <vertAlign val="superscript"/>
        <sz val="11"/>
        <color theme="1"/>
        <rFont val="Aptos Narrow"/>
        <family val="2"/>
        <scheme val="minor"/>
      </rPr>
      <t>th</t>
    </r>
  </si>
  <si>
    <r>
      <t>140</t>
    </r>
    <r>
      <rPr>
        <vertAlign val="superscript"/>
        <sz val="11"/>
        <color theme="1"/>
        <rFont val="Aptos Narrow"/>
        <family val="2"/>
        <scheme val="minor"/>
      </rPr>
      <t>th</t>
    </r>
  </si>
  <si>
    <r>
      <t>141</t>
    </r>
    <r>
      <rPr>
        <vertAlign val="superscript"/>
        <sz val="11"/>
        <color theme="1"/>
        <rFont val="Aptos Narrow"/>
        <family val="2"/>
        <scheme val="minor"/>
      </rPr>
      <t>st</t>
    </r>
  </si>
  <si>
    <r>
      <t>142</t>
    </r>
    <r>
      <rPr>
        <vertAlign val="superscript"/>
        <sz val="11"/>
        <color theme="1"/>
        <rFont val="Aptos Narrow"/>
        <family val="2"/>
        <scheme val="minor"/>
      </rPr>
      <t>nd</t>
    </r>
  </si>
  <si>
    <r>
      <t>143</t>
    </r>
    <r>
      <rPr>
        <vertAlign val="superscript"/>
        <sz val="11"/>
        <color theme="1"/>
        <rFont val="Aptos Narrow"/>
        <family val="2"/>
        <scheme val="minor"/>
      </rPr>
      <t>rd</t>
    </r>
  </si>
  <si>
    <r>
      <t>144</t>
    </r>
    <r>
      <rPr>
        <vertAlign val="superscript"/>
        <sz val="11"/>
        <color theme="1"/>
        <rFont val="Aptos Narrow"/>
        <family val="2"/>
        <scheme val="minor"/>
      </rPr>
      <t>th</t>
    </r>
  </si>
  <si>
    <r>
      <t>145</t>
    </r>
    <r>
      <rPr>
        <vertAlign val="superscript"/>
        <sz val="11"/>
        <color theme="1"/>
        <rFont val="Aptos Narrow"/>
        <family val="2"/>
        <scheme val="minor"/>
      </rPr>
      <t>th</t>
    </r>
  </si>
  <si>
    <r>
      <t>146</t>
    </r>
    <r>
      <rPr>
        <vertAlign val="superscript"/>
        <sz val="11"/>
        <color theme="1"/>
        <rFont val="Aptos Narrow"/>
        <family val="2"/>
        <scheme val="minor"/>
      </rPr>
      <t>th</t>
    </r>
  </si>
  <si>
    <r>
      <t>147</t>
    </r>
    <r>
      <rPr>
        <vertAlign val="superscript"/>
        <sz val="11"/>
        <color theme="1"/>
        <rFont val="Aptos Narrow"/>
        <family val="2"/>
        <scheme val="minor"/>
      </rPr>
      <t>th</t>
    </r>
  </si>
  <si>
    <r>
      <t>148</t>
    </r>
    <r>
      <rPr>
        <vertAlign val="superscript"/>
        <sz val="11"/>
        <color theme="1"/>
        <rFont val="Aptos Narrow"/>
        <family val="2"/>
        <scheme val="minor"/>
      </rPr>
      <t>th</t>
    </r>
  </si>
  <si>
    <r>
      <t>149</t>
    </r>
    <r>
      <rPr>
        <vertAlign val="superscript"/>
        <sz val="11"/>
        <color theme="1"/>
        <rFont val="Aptos Narrow"/>
        <family val="2"/>
        <scheme val="minor"/>
      </rPr>
      <t>th</t>
    </r>
  </si>
  <si>
    <r>
      <t>150</t>
    </r>
    <r>
      <rPr>
        <vertAlign val="superscript"/>
        <sz val="11"/>
        <color theme="1"/>
        <rFont val="Aptos Narrow"/>
        <family val="2"/>
        <scheme val="minor"/>
      </rPr>
      <t>th</t>
    </r>
  </si>
  <si>
    <r>
      <t>151</t>
    </r>
    <r>
      <rPr>
        <vertAlign val="superscript"/>
        <sz val="11"/>
        <color theme="1"/>
        <rFont val="Aptos Narrow"/>
        <family val="2"/>
        <scheme val="minor"/>
      </rPr>
      <t>st</t>
    </r>
  </si>
  <si>
    <r>
      <t>152</t>
    </r>
    <r>
      <rPr>
        <vertAlign val="superscript"/>
        <sz val="11"/>
        <color theme="1"/>
        <rFont val="Aptos Narrow"/>
        <family val="2"/>
        <scheme val="minor"/>
      </rPr>
      <t>nd</t>
    </r>
  </si>
  <si>
    <r>
      <t>153</t>
    </r>
    <r>
      <rPr>
        <vertAlign val="superscript"/>
        <sz val="11"/>
        <color theme="1"/>
        <rFont val="Aptos Narrow"/>
        <family val="2"/>
        <scheme val="minor"/>
      </rPr>
      <t>rd</t>
    </r>
  </si>
  <si>
    <r>
      <t>154</t>
    </r>
    <r>
      <rPr>
        <vertAlign val="superscript"/>
        <sz val="11"/>
        <color theme="1"/>
        <rFont val="Aptos Narrow"/>
        <family val="2"/>
        <scheme val="minor"/>
      </rPr>
      <t>th</t>
    </r>
  </si>
  <si>
    <r>
      <t>155</t>
    </r>
    <r>
      <rPr>
        <vertAlign val="superscript"/>
        <sz val="11"/>
        <color theme="1"/>
        <rFont val="Aptos Narrow"/>
        <family val="2"/>
        <scheme val="minor"/>
      </rPr>
      <t>th</t>
    </r>
  </si>
  <si>
    <r>
      <t>156</t>
    </r>
    <r>
      <rPr>
        <vertAlign val="superscript"/>
        <sz val="11"/>
        <color theme="1"/>
        <rFont val="Aptos Narrow"/>
        <family val="2"/>
        <scheme val="minor"/>
      </rPr>
      <t>th</t>
    </r>
  </si>
  <si>
    <r>
      <t>157</t>
    </r>
    <r>
      <rPr>
        <vertAlign val="superscript"/>
        <sz val="11"/>
        <color theme="1"/>
        <rFont val="Aptos Narrow"/>
        <family val="2"/>
        <scheme val="minor"/>
      </rPr>
      <t>th</t>
    </r>
  </si>
  <si>
    <r>
      <t>158</t>
    </r>
    <r>
      <rPr>
        <vertAlign val="superscript"/>
        <sz val="11"/>
        <color theme="1"/>
        <rFont val="Aptos Narrow"/>
        <family val="2"/>
        <scheme val="minor"/>
      </rPr>
      <t>th</t>
    </r>
  </si>
  <si>
    <r>
      <t>159</t>
    </r>
    <r>
      <rPr>
        <vertAlign val="superscript"/>
        <sz val="11"/>
        <color theme="1"/>
        <rFont val="Aptos Narrow"/>
        <family val="2"/>
        <scheme val="minor"/>
      </rPr>
      <t>th</t>
    </r>
  </si>
  <si>
    <r>
      <t>160</t>
    </r>
    <r>
      <rPr>
        <vertAlign val="superscript"/>
        <sz val="11"/>
        <color theme="1"/>
        <rFont val="Aptos Narrow"/>
        <family val="2"/>
        <scheme val="minor"/>
      </rPr>
      <t>th</t>
    </r>
  </si>
  <si>
    <r>
      <t>161</t>
    </r>
    <r>
      <rPr>
        <vertAlign val="superscript"/>
        <sz val="11"/>
        <color theme="1"/>
        <rFont val="Aptos Narrow"/>
        <family val="2"/>
        <scheme val="minor"/>
      </rPr>
      <t>st</t>
    </r>
  </si>
  <si>
    <r>
      <t>162</t>
    </r>
    <r>
      <rPr>
        <vertAlign val="superscript"/>
        <sz val="11"/>
        <color theme="1"/>
        <rFont val="Aptos Narrow"/>
        <family val="2"/>
        <scheme val="minor"/>
      </rPr>
      <t>nd</t>
    </r>
  </si>
  <si>
    <r>
      <t>163</t>
    </r>
    <r>
      <rPr>
        <vertAlign val="superscript"/>
        <sz val="11"/>
        <color theme="1"/>
        <rFont val="Aptos Narrow"/>
        <family val="2"/>
        <scheme val="minor"/>
      </rPr>
      <t>rd</t>
    </r>
  </si>
  <si>
    <r>
      <t>164</t>
    </r>
    <r>
      <rPr>
        <vertAlign val="superscript"/>
        <sz val="11"/>
        <color theme="1"/>
        <rFont val="Aptos Narrow"/>
        <family val="2"/>
        <scheme val="minor"/>
      </rPr>
      <t>th</t>
    </r>
  </si>
  <si>
    <r>
      <t>165</t>
    </r>
    <r>
      <rPr>
        <vertAlign val="superscript"/>
        <sz val="11"/>
        <color theme="1"/>
        <rFont val="Aptos Narrow"/>
        <family val="2"/>
        <scheme val="minor"/>
      </rPr>
      <t>th</t>
    </r>
  </si>
  <si>
    <r>
      <t>166</t>
    </r>
    <r>
      <rPr>
        <vertAlign val="superscript"/>
        <sz val="11"/>
        <color theme="1"/>
        <rFont val="Aptos Narrow"/>
        <family val="2"/>
        <scheme val="minor"/>
      </rPr>
      <t>th</t>
    </r>
  </si>
  <si>
    <r>
      <t>167</t>
    </r>
    <r>
      <rPr>
        <vertAlign val="superscript"/>
        <sz val="11"/>
        <color theme="1"/>
        <rFont val="Aptos Narrow"/>
        <family val="2"/>
        <scheme val="minor"/>
      </rPr>
      <t>th</t>
    </r>
  </si>
  <si>
    <r>
      <t>168</t>
    </r>
    <r>
      <rPr>
        <vertAlign val="superscript"/>
        <sz val="11"/>
        <color theme="1"/>
        <rFont val="Aptos Narrow"/>
        <family val="2"/>
        <scheme val="minor"/>
      </rPr>
      <t>th</t>
    </r>
  </si>
  <si>
    <r>
      <t>169</t>
    </r>
    <r>
      <rPr>
        <vertAlign val="superscript"/>
        <sz val="11"/>
        <color theme="1"/>
        <rFont val="Aptos Narrow"/>
        <family val="2"/>
        <scheme val="minor"/>
      </rPr>
      <t>th</t>
    </r>
  </si>
  <si>
    <r>
      <t>170</t>
    </r>
    <r>
      <rPr>
        <vertAlign val="superscript"/>
        <sz val="11"/>
        <color theme="1"/>
        <rFont val="Aptos Narrow"/>
        <family val="2"/>
        <scheme val="minor"/>
      </rPr>
      <t>th</t>
    </r>
  </si>
  <si>
    <r>
      <t>171</t>
    </r>
    <r>
      <rPr>
        <vertAlign val="superscript"/>
        <sz val="11"/>
        <color theme="1"/>
        <rFont val="Aptos Narrow"/>
        <family val="2"/>
        <scheme val="minor"/>
      </rPr>
      <t>st</t>
    </r>
  </si>
  <si>
    <r>
      <t>172</t>
    </r>
    <r>
      <rPr>
        <vertAlign val="superscript"/>
        <sz val="11"/>
        <color theme="1"/>
        <rFont val="Aptos Narrow"/>
        <family val="2"/>
        <scheme val="minor"/>
      </rPr>
      <t>nd</t>
    </r>
  </si>
  <si>
    <r>
      <t>173</t>
    </r>
    <r>
      <rPr>
        <vertAlign val="superscript"/>
        <sz val="11"/>
        <color theme="1"/>
        <rFont val="Aptos Narrow"/>
        <family val="2"/>
        <scheme val="minor"/>
      </rPr>
      <t>rd</t>
    </r>
  </si>
  <si>
    <r>
      <t>174</t>
    </r>
    <r>
      <rPr>
        <vertAlign val="superscript"/>
        <sz val="11"/>
        <color theme="1"/>
        <rFont val="Aptos Narrow"/>
        <family val="2"/>
        <scheme val="minor"/>
      </rPr>
      <t>th</t>
    </r>
  </si>
  <si>
    <r>
      <t>175</t>
    </r>
    <r>
      <rPr>
        <vertAlign val="superscript"/>
        <sz val="11"/>
        <color theme="1"/>
        <rFont val="Aptos Narrow"/>
        <family val="2"/>
        <scheme val="minor"/>
      </rPr>
      <t>th</t>
    </r>
  </si>
  <si>
    <r>
      <t>176</t>
    </r>
    <r>
      <rPr>
        <vertAlign val="superscript"/>
        <sz val="11"/>
        <color theme="1"/>
        <rFont val="Aptos Narrow"/>
        <family val="2"/>
        <scheme val="minor"/>
      </rPr>
      <t>th</t>
    </r>
  </si>
  <si>
    <r>
      <t>177</t>
    </r>
    <r>
      <rPr>
        <vertAlign val="superscript"/>
        <sz val="11"/>
        <color theme="1"/>
        <rFont val="Aptos Narrow"/>
        <family val="2"/>
        <scheme val="minor"/>
      </rPr>
      <t>th</t>
    </r>
  </si>
  <si>
    <r>
      <t>178</t>
    </r>
    <r>
      <rPr>
        <vertAlign val="superscript"/>
        <sz val="11"/>
        <color theme="1"/>
        <rFont val="Aptos Narrow"/>
        <family val="2"/>
        <scheme val="minor"/>
      </rPr>
      <t>th</t>
    </r>
  </si>
  <si>
    <r>
      <t>179</t>
    </r>
    <r>
      <rPr>
        <vertAlign val="superscript"/>
        <sz val="11"/>
        <color theme="1"/>
        <rFont val="Aptos Narrow"/>
        <family val="2"/>
        <scheme val="minor"/>
      </rPr>
      <t>th</t>
    </r>
  </si>
  <si>
    <r>
      <t>180</t>
    </r>
    <r>
      <rPr>
        <vertAlign val="superscript"/>
        <sz val="11"/>
        <color theme="1"/>
        <rFont val="Aptos Narrow"/>
        <family val="2"/>
        <scheme val="minor"/>
      </rPr>
      <t>th</t>
    </r>
  </si>
  <si>
    <r>
      <t>181</t>
    </r>
    <r>
      <rPr>
        <vertAlign val="superscript"/>
        <sz val="11"/>
        <color theme="1"/>
        <rFont val="Aptos Narrow"/>
        <family val="2"/>
        <scheme val="minor"/>
      </rPr>
      <t>st</t>
    </r>
  </si>
  <si>
    <r>
      <t>182</t>
    </r>
    <r>
      <rPr>
        <vertAlign val="superscript"/>
        <sz val="11"/>
        <color theme="1"/>
        <rFont val="Aptos Narrow"/>
        <family val="2"/>
        <scheme val="minor"/>
      </rPr>
      <t>nd</t>
    </r>
  </si>
  <si>
    <r>
      <t>183</t>
    </r>
    <r>
      <rPr>
        <vertAlign val="superscript"/>
        <sz val="11"/>
        <color theme="1"/>
        <rFont val="Aptos Narrow"/>
        <family val="2"/>
        <scheme val="minor"/>
      </rPr>
      <t>rd</t>
    </r>
  </si>
  <si>
    <r>
      <t>184</t>
    </r>
    <r>
      <rPr>
        <vertAlign val="superscript"/>
        <sz val="11"/>
        <color theme="1"/>
        <rFont val="Aptos Narrow"/>
        <family val="2"/>
        <scheme val="minor"/>
      </rPr>
      <t>th</t>
    </r>
  </si>
  <si>
    <r>
      <t>185</t>
    </r>
    <r>
      <rPr>
        <vertAlign val="superscript"/>
        <sz val="11"/>
        <color theme="1"/>
        <rFont val="Aptos Narrow"/>
        <family val="2"/>
        <scheme val="minor"/>
      </rPr>
      <t>th</t>
    </r>
  </si>
  <si>
    <r>
      <t>186</t>
    </r>
    <r>
      <rPr>
        <vertAlign val="superscript"/>
        <sz val="11"/>
        <color theme="1"/>
        <rFont val="Aptos Narrow"/>
        <family val="2"/>
        <scheme val="minor"/>
      </rPr>
      <t>th</t>
    </r>
  </si>
  <si>
    <r>
      <t>187</t>
    </r>
    <r>
      <rPr>
        <vertAlign val="superscript"/>
        <sz val="11"/>
        <color theme="1"/>
        <rFont val="Aptos Narrow"/>
        <family val="2"/>
        <scheme val="minor"/>
      </rPr>
      <t>th</t>
    </r>
  </si>
  <si>
    <r>
      <t>188</t>
    </r>
    <r>
      <rPr>
        <vertAlign val="superscript"/>
        <sz val="11"/>
        <color theme="1"/>
        <rFont val="Aptos Narrow"/>
        <family val="2"/>
        <scheme val="minor"/>
      </rPr>
      <t>th</t>
    </r>
  </si>
  <si>
    <r>
      <t>189</t>
    </r>
    <r>
      <rPr>
        <vertAlign val="superscript"/>
        <sz val="11"/>
        <color theme="1"/>
        <rFont val="Aptos Narrow"/>
        <family val="2"/>
        <scheme val="minor"/>
      </rPr>
      <t>th</t>
    </r>
  </si>
  <si>
    <r>
      <t>190</t>
    </r>
    <r>
      <rPr>
        <vertAlign val="superscript"/>
        <sz val="11"/>
        <color theme="1"/>
        <rFont val="Aptos Narrow"/>
        <family val="2"/>
        <scheme val="minor"/>
      </rPr>
      <t>th</t>
    </r>
  </si>
  <si>
    <r>
      <t>191</t>
    </r>
    <r>
      <rPr>
        <vertAlign val="superscript"/>
        <sz val="11"/>
        <color theme="1"/>
        <rFont val="Aptos Narrow"/>
        <family val="2"/>
        <scheme val="minor"/>
      </rPr>
      <t>st</t>
    </r>
  </si>
  <si>
    <r>
      <t>192</t>
    </r>
    <r>
      <rPr>
        <vertAlign val="superscript"/>
        <sz val="11"/>
        <color theme="1"/>
        <rFont val="Aptos Narrow"/>
        <family val="2"/>
        <scheme val="minor"/>
      </rPr>
      <t>nd</t>
    </r>
  </si>
  <si>
    <r>
      <t>193</t>
    </r>
    <r>
      <rPr>
        <vertAlign val="superscript"/>
        <sz val="11"/>
        <color theme="1"/>
        <rFont val="Aptos Narrow"/>
        <family val="2"/>
        <scheme val="minor"/>
      </rPr>
      <t>rd</t>
    </r>
  </si>
  <si>
    <r>
      <t>194</t>
    </r>
    <r>
      <rPr>
        <vertAlign val="superscript"/>
        <sz val="11"/>
        <color theme="1"/>
        <rFont val="Aptos Narrow"/>
        <family val="2"/>
        <scheme val="minor"/>
      </rPr>
      <t>th</t>
    </r>
  </si>
  <si>
    <r>
      <t>195</t>
    </r>
    <r>
      <rPr>
        <vertAlign val="superscript"/>
        <sz val="11"/>
        <color theme="1"/>
        <rFont val="Aptos Narrow"/>
        <family val="2"/>
        <scheme val="minor"/>
      </rPr>
      <t>th</t>
    </r>
  </si>
  <si>
    <r>
      <t>196</t>
    </r>
    <r>
      <rPr>
        <vertAlign val="superscript"/>
        <sz val="11"/>
        <color theme="1"/>
        <rFont val="Aptos Narrow"/>
        <family val="2"/>
        <scheme val="minor"/>
      </rPr>
      <t>th</t>
    </r>
  </si>
  <si>
    <r>
      <t>197</t>
    </r>
    <r>
      <rPr>
        <vertAlign val="superscript"/>
        <sz val="11"/>
        <color theme="1"/>
        <rFont val="Aptos Narrow"/>
        <family val="2"/>
        <scheme val="minor"/>
      </rPr>
      <t>th</t>
    </r>
  </si>
  <si>
    <r>
      <t>198</t>
    </r>
    <r>
      <rPr>
        <vertAlign val="superscript"/>
        <sz val="11"/>
        <color theme="1"/>
        <rFont val="Aptos Narrow"/>
        <family val="2"/>
        <scheme val="minor"/>
      </rPr>
      <t>th</t>
    </r>
  </si>
  <si>
    <r>
      <t>199</t>
    </r>
    <r>
      <rPr>
        <vertAlign val="superscript"/>
        <sz val="11"/>
        <color theme="1"/>
        <rFont val="Aptos Narrow"/>
        <family val="2"/>
        <scheme val="minor"/>
      </rPr>
      <t>th</t>
    </r>
  </si>
  <si>
    <r>
      <t>200</t>
    </r>
    <r>
      <rPr>
        <vertAlign val="superscript"/>
        <sz val="11"/>
        <color theme="1"/>
        <rFont val="Aptos Narrow"/>
        <family val="2"/>
        <scheme val="minor"/>
      </rPr>
      <t>th</t>
    </r>
  </si>
  <si>
    <r>
      <t>201</t>
    </r>
    <r>
      <rPr>
        <vertAlign val="superscript"/>
        <sz val="11"/>
        <color theme="1"/>
        <rFont val="Aptos Narrow"/>
        <family val="2"/>
        <scheme val="minor"/>
      </rPr>
      <t>st</t>
    </r>
  </si>
  <si>
    <r>
      <t>202</t>
    </r>
    <r>
      <rPr>
        <vertAlign val="superscript"/>
        <sz val="11"/>
        <color theme="1"/>
        <rFont val="Aptos Narrow"/>
        <family val="2"/>
        <scheme val="minor"/>
      </rPr>
      <t>nd</t>
    </r>
  </si>
  <si>
    <r>
      <t>203</t>
    </r>
    <r>
      <rPr>
        <vertAlign val="superscript"/>
        <sz val="11"/>
        <color theme="1"/>
        <rFont val="Aptos Narrow"/>
        <family val="2"/>
        <scheme val="minor"/>
      </rPr>
      <t>rd</t>
    </r>
  </si>
  <si>
    <r>
      <t>204</t>
    </r>
    <r>
      <rPr>
        <vertAlign val="superscript"/>
        <sz val="11"/>
        <color theme="1"/>
        <rFont val="Aptos Narrow"/>
        <family val="2"/>
        <scheme val="minor"/>
      </rPr>
      <t>th</t>
    </r>
  </si>
  <si>
    <r>
      <t>205</t>
    </r>
    <r>
      <rPr>
        <vertAlign val="superscript"/>
        <sz val="11"/>
        <color theme="1"/>
        <rFont val="Aptos Narrow"/>
        <family val="2"/>
        <scheme val="minor"/>
      </rPr>
      <t>th</t>
    </r>
  </si>
  <si>
    <r>
      <t>206</t>
    </r>
    <r>
      <rPr>
        <vertAlign val="superscript"/>
        <sz val="11"/>
        <color theme="1"/>
        <rFont val="Aptos Narrow"/>
        <family val="2"/>
        <scheme val="minor"/>
      </rPr>
      <t>th</t>
    </r>
  </si>
  <si>
    <r>
      <t>207</t>
    </r>
    <r>
      <rPr>
        <vertAlign val="superscript"/>
        <sz val="11"/>
        <color theme="1"/>
        <rFont val="Aptos Narrow"/>
        <family val="2"/>
        <scheme val="minor"/>
      </rPr>
      <t>th</t>
    </r>
  </si>
  <si>
    <r>
      <t>208</t>
    </r>
    <r>
      <rPr>
        <vertAlign val="superscript"/>
        <sz val="11"/>
        <color theme="1"/>
        <rFont val="Aptos Narrow"/>
        <family val="2"/>
        <scheme val="minor"/>
      </rPr>
      <t>th</t>
    </r>
  </si>
  <si>
    <r>
      <t>209</t>
    </r>
    <r>
      <rPr>
        <vertAlign val="superscript"/>
        <sz val="11"/>
        <color theme="1"/>
        <rFont val="Aptos Narrow"/>
        <family val="2"/>
        <scheme val="minor"/>
      </rPr>
      <t>th</t>
    </r>
  </si>
  <si>
    <r>
      <t>210</t>
    </r>
    <r>
      <rPr>
        <vertAlign val="superscript"/>
        <sz val="11"/>
        <color theme="1"/>
        <rFont val="Aptos Narrow"/>
        <family val="2"/>
        <scheme val="minor"/>
      </rPr>
      <t>th</t>
    </r>
  </si>
  <si>
    <r>
      <t>211</t>
    </r>
    <r>
      <rPr>
        <vertAlign val="superscript"/>
        <sz val="11"/>
        <color theme="1"/>
        <rFont val="Aptos Narrow"/>
        <family val="2"/>
        <scheme val="minor"/>
      </rPr>
      <t>th</t>
    </r>
  </si>
  <si>
    <r>
      <t>212</t>
    </r>
    <r>
      <rPr>
        <vertAlign val="superscript"/>
        <sz val="11"/>
        <color theme="1"/>
        <rFont val="Aptos Narrow"/>
        <family val="2"/>
        <scheme val="minor"/>
      </rPr>
      <t>th</t>
    </r>
  </si>
  <si>
    <r>
      <t>213</t>
    </r>
    <r>
      <rPr>
        <vertAlign val="superscript"/>
        <sz val="11"/>
        <color theme="1"/>
        <rFont val="Aptos Narrow"/>
        <family val="2"/>
        <scheme val="minor"/>
      </rPr>
      <t>th</t>
    </r>
  </si>
  <si>
    <r>
      <t>214</t>
    </r>
    <r>
      <rPr>
        <vertAlign val="superscript"/>
        <sz val="11"/>
        <color theme="1"/>
        <rFont val="Aptos Narrow"/>
        <family val="2"/>
        <scheme val="minor"/>
      </rPr>
      <t>th</t>
    </r>
  </si>
  <si>
    <r>
      <t>215</t>
    </r>
    <r>
      <rPr>
        <vertAlign val="superscript"/>
        <sz val="11"/>
        <color theme="1"/>
        <rFont val="Aptos Narrow"/>
        <family val="2"/>
        <scheme val="minor"/>
      </rPr>
      <t>th</t>
    </r>
  </si>
  <si>
    <r>
      <t>216</t>
    </r>
    <r>
      <rPr>
        <vertAlign val="superscript"/>
        <sz val="11"/>
        <color theme="1"/>
        <rFont val="Aptos Narrow"/>
        <family val="2"/>
        <scheme val="minor"/>
      </rPr>
      <t>th</t>
    </r>
  </si>
  <si>
    <r>
      <t>217</t>
    </r>
    <r>
      <rPr>
        <vertAlign val="superscript"/>
        <sz val="11"/>
        <color theme="1"/>
        <rFont val="Aptos Narrow"/>
        <family val="2"/>
        <scheme val="minor"/>
      </rPr>
      <t>th</t>
    </r>
  </si>
  <si>
    <r>
      <t>218</t>
    </r>
    <r>
      <rPr>
        <vertAlign val="superscript"/>
        <sz val="11"/>
        <color theme="1"/>
        <rFont val="Aptos Narrow"/>
        <family val="2"/>
        <scheme val="minor"/>
      </rPr>
      <t>th</t>
    </r>
  </si>
  <si>
    <r>
      <t>219</t>
    </r>
    <r>
      <rPr>
        <vertAlign val="superscript"/>
        <sz val="11"/>
        <color theme="1"/>
        <rFont val="Aptos Narrow"/>
        <family val="2"/>
        <scheme val="minor"/>
      </rPr>
      <t>th</t>
    </r>
  </si>
  <si>
    <r>
      <t>220</t>
    </r>
    <r>
      <rPr>
        <vertAlign val="superscript"/>
        <sz val="11"/>
        <color theme="1"/>
        <rFont val="Aptos Narrow"/>
        <family val="2"/>
        <scheme val="minor"/>
      </rPr>
      <t>th</t>
    </r>
  </si>
  <si>
    <r>
      <t>221</t>
    </r>
    <r>
      <rPr>
        <vertAlign val="superscript"/>
        <sz val="11"/>
        <color theme="1"/>
        <rFont val="Aptos Narrow"/>
        <family val="2"/>
        <scheme val="minor"/>
      </rPr>
      <t>st</t>
    </r>
  </si>
  <si>
    <r>
      <t>222</t>
    </r>
    <r>
      <rPr>
        <vertAlign val="superscript"/>
        <sz val="11"/>
        <color theme="1"/>
        <rFont val="Aptos Narrow"/>
        <family val="2"/>
        <scheme val="minor"/>
      </rPr>
      <t>nd</t>
    </r>
  </si>
  <si>
    <r>
      <t>223</t>
    </r>
    <r>
      <rPr>
        <vertAlign val="superscript"/>
        <sz val="11"/>
        <color theme="1"/>
        <rFont val="Aptos Narrow"/>
        <family val="2"/>
        <scheme val="minor"/>
      </rPr>
      <t>rd</t>
    </r>
  </si>
  <si>
    <r>
      <t>224</t>
    </r>
    <r>
      <rPr>
        <vertAlign val="superscript"/>
        <sz val="11"/>
        <color theme="1"/>
        <rFont val="Aptos Narrow"/>
        <family val="2"/>
        <scheme val="minor"/>
      </rPr>
      <t>th</t>
    </r>
  </si>
  <si>
    <r>
      <t>225</t>
    </r>
    <r>
      <rPr>
        <vertAlign val="superscript"/>
        <sz val="11"/>
        <color theme="1"/>
        <rFont val="Aptos Narrow"/>
        <family val="2"/>
        <scheme val="minor"/>
      </rPr>
      <t>th</t>
    </r>
  </si>
  <si>
    <r>
      <t>226</t>
    </r>
    <r>
      <rPr>
        <vertAlign val="superscript"/>
        <sz val="11"/>
        <color theme="1"/>
        <rFont val="Aptos Narrow"/>
        <family val="2"/>
        <scheme val="minor"/>
      </rPr>
      <t>th</t>
    </r>
  </si>
  <si>
    <r>
      <t>227</t>
    </r>
    <r>
      <rPr>
        <vertAlign val="superscript"/>
        <sz val="11"/>
        <color theme="1"/>
        <rFont val="Aptos Narrow"/>
        <family val="2"/>
        <scheme val="minor"/>
      </rPr>
      <t>th</t>
    </r>
  </si>
  <si>
    <r>
      <t>228</t>
    </r>
    <r>
      <rPr>
        <vertAlign val="superscript"/>
        <sz val="11"/>
        <color theme="1"/>
        <rFont val="Aptos Narrow"/>
        <family val="2"/>
        <scheme val="minor"/>
      </rPr>
      <t>th</t>
    </r>
  </si>
  <si>
    <r>
      <t>229</t>
    </r>
    <r>
      <rPr>
        <vertAlign val="superscript"/>
        <sz val="11"/>
        <color theme="1"/>
        <rFont val="Aptos Narrow"/>
        <family val="2"/>
        <scheme val="minor"/>
      </rPr>
      <t>th</t>
    </r>
  </si>
  <si>
    <r>
      <t>230</t>
    </r>
    <r>
      <rPr>
        <vertAlign val="superscript"/>
        <sz val="11"/>
        <color theme="1"/>
        <rFont val="Aptos Narrow"/>
        <family val="2"/>
        <scheme val="minor"/>
      </rPr>
      <t>th</t>
    </r>
  </si>
  <si>
    <r>
      <t>231</t>
    </r>
    <r>
      <rPr>
        <vertAlign val="superscript"/>
        <sz val="11"/>
        <color theme="1"/>
        <rFont val="Aptos Narrow"/>
        <family val="2"/>
        <scheme val="minor"/>
      </rPr>
      <t>st</t>
    </r>
  </si>
  <si>
    <r>
      <t>232</t>
    </r>
    <r>
      <rPr>
        <vertAlign val="superscript"/>
        <sz val="11"/>
        <color theme="1"/>
        <rFont val="Aptos Narrow"/>
        <family val="2"/>
        <scheme val="minor"/>
      </rPr>
      <t>nd</t>
    </r>
  </si>
  <si>
    <r>
      <t>233</t>
    </r>
    <r>
      <rPr>
        <vertAlign val="superscript"/>
        <sz val="11"/>
        <color theme="1"/>
        <rFont val="Aptos Narrow"/>
        <family val="2"/>
        <scheme val="minor"/>
      </rPr>
      <t>rd</t>
    </r>
  </si>
  <si>
    <r>
      <t>234</t>
    </r>
    <r>
      <rPr>
        <vertAlign val="superscript"/>
        <sz val="11"/>
        <color theme="1"/>
        <rFont val="Aptos Narrow"/>
        <family val="2"/>
        <scheme val="minor"/>
      </rPr>
      <t>th</t>
    </r>
  </si>
  <si>
    <r>
      <t>235</t>
    </r>
    <r>
      <rPr>
        <vertAlign val="superscript"/>
        <sz val="11"/>
        <color theme="1"/>
        <rFont val="Aptos Narrow"/>
        <family val="2"/>
        <scheme val="minor"/>
      </rPr>
      <t>th</t>
    </r>
  </si>
  <si>
    <r>
      <t>236</t>
    </r>
    <r>
      <rPr>
        <vertAlign val="superscript"/>
        <sz val="11"/>
        <color theme="1"/>
        <rFont val="Aptos Narrow"/>
        <family val="2"/>
        <scheme val="minor"/>
      </rPr>
      <t>th</t>
    </r>
  </si>
  <si>
    <r>
      <t>237</t>
    </r>
    <r>
      <rPr>
        <vertAlign val="superscript"/>
        <sz val="11"/>
        <color theme="1"/>
        <rFont val="Aptos Narrow"/>
        <family val="2"/>
        <scheme val="minor"/>
      </rPr>
      <t>th</t>
    </r>
  </si>
  <si>
    <r>
      <t>238</t>
    </r>
    <r>
      <rPr>
        <vertAlign val="superscript"/>
        <sz val="11"/>
        <color theme="1"/>
        <rFont val="Aptos Narrow"/>
        <family val="2"/>
        <scheme val="minor"/>
      </rPr>
      <t>th</t>
    </r>
  </si>
  <si>
    <r>
      <t>239</t>
    </r>
    <r>
      <rPr>
        <vertAlign val="superscript"/>
        <sz val="11"/>
        <color theme="1"/>
        <rFont val="Aptos Narrow"/>
        <family val="2"/>
        <scheme val="minor"/>
      </rPr>
      <t>th</t>
    </r>
  </si>
  <si>
    <r>
      <t>240</t>
    </r>
    <r>
      <rPr>
        <vertAlign val="superscript"/>
        <sz val="11"/>
        <color theme="1"/>
        <rFont val="Aptos Narrow"/>
        <family val="2"/>
        <scheme val="minor"/>
      </rPr>
      <t>th</t>
    </r>
  </si>
  <si>
    <r>
      <t>241</t>
    </r>
    <r>
      <rPr>
        <vertAlign val="superscript"/>
        <sz val="11"/>
        <color theme="1"/>
        <rFont val="Aptos Narrow"/>
        <family val="2"/>
        <scheme val="minor"/>
      </rPr>
      <t>st</t>
    </r>
  </si>
  <si>
    <r>
      <t>242</t>
    </r>
    <r>
      <rPr>
        <vertAlign val="superscript"/>
        <sz val="11"/>
        <color theme="1"/>
        <rFont val="Aptos Narrow"/>
        <family val="2"/>
        <scheme val="minor"/>
      </rPr>
      <t>nd</t>
    </r>
  </si>
  <si>
    <r>
      <t>243</t>
    </r>
    <r>
      <rPr>
        <vertAlign val="superscript"/>
        <sz val="11"/>
        <color theme="1"/>
        <rFont val="Aptos Narrow"/>
        <family val="2"/>
        <scheme val="minor"/>
      </rPr>
      <t>rd</t>
    </r>
  </si>
  <si>
    <r>
      <t>244</t>
    </r>
    <r>
      <rPr>
        <vertAlign val="superscript"/>
        <sz val="11"/>
        <color theme="1"/>
        <rFont val="Aptos Narrow"/>
        <family val="2"/>
        <scheme val="minor"/>
      </rPr>
      <t>th</t>
    </r>
  </si>
  <si>
    <r>
      <t>245</t>
    </r>
    <r>
      <rPr>
        <vertAlign val="superscript"/>
        <sz val="11"/>
        <color theme="1"/>
        <rFont val="Aptos Narrow"/>
        <family val="2"/>
        <scheme val="minor"/>
      </rPr>
      <t>th</t>
    </r>
  </si>
  <si>
    <r>
      <t>246</t>
    </r>
    <r>
      <rPr>
        <vertAlign val="superscript"/>
        <sz val="11"/>
        <color theme="1"/>
        <rFont val="Aptos Narrow"/>
        <family val="2"/>
        <scheme val="minor"/>
      </rPr>
      <t>th</t>
    </r>
  </si>
  <si>
    <r>
      <t>247</t>
    </r>
    <r>
      <rPr>
        <vertAlign val="superscript"/>
        <sz val="11"/>
        <color theme="1"/>
        <rFont val="Aptos Narrow"/>
        <family val="2"/>
        <scheme val="minor"/>
      </rPr>
      <t>th</t>
    </r>
  </si>
  <si>
    <r>
      <t>248</t>
    </r>
    <r>
      <rPr>
        <vertAlign val="superscript"/>
        <sz val="11"/>
        <color theme="1"/>
        <rFont val="Aptos Narrow"/>
        <family val="2"/>
        <scheme val="minor"/>
      </rPr>
      <t>th</t>
    </r>
  </si>
  <si>
    <r>
      <t>249</t>
    </r>
    <r>
      <rPr>
        <vertAlign val="superscript"/>
        <sz val="11"/>
        <color theme="1"/>
        <rFont val="Aptos Narrow"/>
        <family val="2"/>
        <scheme val="minor"/>
      </rPr>
      <t>th</t>
    </r>
  </si>
  <si>
    <r>
      <t>250</t>
    </r>
    <r>
      <rPr>
        <vertAlign val="superscript"/>
        <sz val="11"/>
        <color theme="1"/>
        <rFont val="Aptos Narrow"/>
        <family val="2"/>
        <scheme val="minor"/>
      </rPr>
      <t>th</t>
    </r>
  </si>
  <si>
    <r>
      <t>251</t>
    </r>
    <r>
      <rPr>
        <vertAlign val="superscript"/>
        <sz val="11"/>
        <color theme="1"/>
        <rFont val="Aptos Narrow"/>
        <family val="2"/>
        <scheme val="minor"/>
      </rPr>
      <t>st</t>
    </r>
  </si>
  <si>
    <r>
      <t>252</t>
    </r>
    <r>
      <rPr>
        <vertAlign val="superscript"/>
        <sz val="11"/>
        <color theme="1"/>
        <rFont val="Aptos Narrow"/>
        <family val="2"/>
        <scheme val="minor"/>
      </rPr>
      <t>nd</t>
    </r>
  </si>
  <si>
    <r>
      <t>253</t>
    </r>
    <r>
      <rPr>
        <vertAlign val="superscript"/>
        <sz val="11"/>
        <color theme="1"/>
        <rFont val="Aptos Narrow"/>
        <family val="2"/>
        <scheme val="minor"/>
      </rPr>
      <t>rd</t>
    </r>
  </si>
  <si>
    <r>
      <t>254</t>
    </r>
    <r>
      <rPr>
        <vertAlign val="superscript"/>
        <sz val="11"/>
        <color theme="1"/>
        <rFont val="Aptos Narrow"/>
        <family val="2"/>
        <scheme val="minor"/>
      </rPr>
      <t>th</t>
    </r>
  </si>
  <si>
    <r>
      <t>255</t>
    </r>
    <r>
      <rPr>
        <vertAlign val="superscript"/>
        <sz val="11"/>
        <color theme="1"/>
        <rFont val="Aptos Narrow"/>
        <family val="2"/>
        <scheme val="minor"/>
      </rPr>
      <t>th</t>
    </r>
  </si>
  <si>
    <r>
      <t>256</t>
    </r>
    <r>
      <rPr>
        <vertAlign val="superscript"/>
        <sz val="11"/>
        <color theme="1"/>
        <rFont val="Aptos Narrow"/>
        <family val="2"/>
        <scheme val="minor"/>
      </rPr>
      <t>th</t>
    </r>
  </si>
  <si>
    <r>
      <t>257</t>
    </r>
    <r>
      <rPr>
        <vertAlign val="superscript"/>
        <sz val="11"/>
        <color theme="1"/>
        <rFont val="Aptos Narrow"/>
        <family val="2"/>
        <scheme val="minor"/>
      </rPr>
      <t>th</t>
    </r>
  </si>
  <si>
    <r>
      <t>258</t>
    </r>
    <r>
      <rPr>
        <vertAlign val="superscript"/>
        <sz val="11"/>
        <color theme="1"/>
        <rFont val="Aptos Narrow"/>
        <family val="2"/>
        <scheme val="minor"/>
      </rPr>
      <t>th</t>
    </r>
  </si>
  <si>
    <r>
      <t>259</t>
    </r>
    <r>
      <rPr>
        <vertAlign val="superscript"/>
        <sz val="11"/>
        <color theme="1"/>
        <rFont val="Aptos Narrow"/>
        <family val="2"/>
        <scheme val="minor"/>
      </rPr>
      <t>th</t>
    </r>
  </si>
  <si>
    <r>
      <t>260</t>
    </r>
    <r>
      <rPr>
        <vertAlign val="superscript"/>
        <sz val="11"/>
        <color theme="1"/>
        <rFont val="Aptos Narrow"/>
        <family val="2"/>
        <scheme val="minor"/>
      </rPr>
      <t>th</t>
    </r>
  </si>
  <si>
    <r>
      <t>261</t>
    </r>
    <r>
      <rPr>
        <vertAlign val="superscript"/>
        <sz val="11"/>
        <color theme="1"/>
        <rFont val="Aptos Narrow"/>
        <family val="2"/>
        <scheme val="minor"/>
      </rPr>
      <t>st</t>
    </r>
  </si>
  <si>
    <r>
      <t>262</t>
    </r>
    <r>
      <rPr>
        <vertAlign val="superscript"/>
        <sz val="11"/>
        <color theme="1"/>
        <rFont val="Aptos Narrow"/>
        <family val="2"/>
        <scheme val="minor"/>
      </rPr>
      <t>nd</t>
    </r>
  </si>
  <si>
    <r>
      <t>263</t>
    </r>
    <r>
      <rPr>
        <vertAlign val="superscript"/>
        <sz val="11"/>
        <color theme="1"/>
        <rFont val="Aptos Narrow"/>
        <family val="2"/>
        <scheme val="minor"/>
      </rPr>
      <t>rd</t>
    </r>
  </si>
  <si>
    <r>
      <t>264</t>
    </r>
    <r>
      <rPr>
        <vertAlign val="superscript"/>
        <sz val="11"/>
        <color theme="1"/>
        <rFont val="Aptos Narrow"/>
        <family val="2"/>
        <scheme val="minor"/>
      </rPr>
      <t>th</t>
    </r>
  </si>
  <si>
    <r>
      <t>265</t>
    </r>
    <r>
      <rPr>
        <vertAlign val="superscript"/>
        <sz val="11"/>
        <color theme="1"/>
        <rFont val="Aptos Narrow"/>
        <family val="2"/>
        <scheme val="minor"/>
      </rPr>
      <t>th</t>
    </r>
  </si>
  <si>
    <r>
      <t>266</t>
    </r>
    <r>
      <rPr>
        <vertAlign val="superscript"/>
        <sz val="11"/>
        <color theme="1"/>
        <rFont val="Aptos Narrow"/>
        <family val="2"/>
        <scheme val="minor"/>
      </rPr>
      <t>th</t>
    </r>
  </si>
  <si>
    <r>
      <t>267</t>
    </r>
    <r>
      <rPr>
        <vertAlign val="superscript"/>
        <sz val="11"/>
        <color theme="1"/>
        <rFont val="Aptos Narrow"/>
        <family val="2"/>
        <scheme val="minor"/>
      </rPr>
      <t>th</t>
    </r>
  </si>
  <si>
    <r>
      <t>268</t>
    </r>
    <r>
      <rPr>
        <vertAlign val="superscript"/>
        <sz val="11"/>
        <color theme="1"/>
        <rFont val="Aptos Narrow"/>
        <family val="2"/>
        <scheme val="minor"/>
      </rPr>
      <t>th</t>
    </r>
  </si>
  <si>
    <r>
      <t>269</t>
    </r>
    <r>
      <rPr>
        <vertAlign val="superscript"/>
        <sz val="11"/>
        <color theme="1"/>
        <rFont val="Aptos Narrow"/>
        <family val="2"/>
        <scheme val="minor"/>
      </rPr>
      <t>th</t>
    </r>
  </si>
  <si>
    <r>
      <t>270</t>
    </r>
    <r>
      <rPr>
        <vertAlign val="superscript"/>
        <sz val="11"/>
        <color theme="1"/>
        <rFont val="Aptos Narrow"/>
        <family val="2"/>
        <scheme val="minor"/>
      </rPr>
      <t>th</t>
    </r>
  </si>
  <si>
    <r>
      <t>271</t>
    </r>
    <r>
      <rPr>
        <vertAlign val="superscript"/>
        <sz val="11"/>
        <color theme="1"/>
        <rFont val="Aptos Narrow"/>
        <family val="2"/>
        <scheme val="minor"/>
      </rPr>
      <t>st</t>
    </r>
  </si>
  <si>
    <r>
      <t>272</t>
    </r>
    <r>
      <rPr>
        <vertAlign val="superscript"/>
        <sz val="11"/>
        <color theme="1"/>
        <rFont val="Aptos Narrow"/>
        <family val="2"/>
        <scheme val="minor"/>
      </rPr>
      <t>nd</t>
    </r>
  </si>
  <si>
    <r>
      <t>273</t>
    </r>
    <r>
      <rPr>
        <vertAlign val="superscript"/>
        <sz val="11"/>
        <color theme="1"/>
        <rFont val="Aptos Narrow"/>
        <family val="2"/>
        <scheme val="minor"/>
      </rPr>
      <t>rd</t>
    </r>
  </si>
  <si>
    <r>
      <t>274</t>
    </r>
    <r>
      <rPr>
        <vertAlign val="superscript"/>
        <sz val="11"/>
        <color theme="1"/>
        <rFont val="Aptos Narrow"/>
        <family val="2"/>
        <scheme val="minor"/>
      </rPr>
      <t>th</t>
    </r>
  </si>
  <si>
    <r>
      <t>275</t>
    </r>
    <r>
      <rPr>
        <vertAlign val="superscript"/>
        <sz val="11"/>
        <color theme="1"/>
        <rFont val="Aptos Narrow"/>
        <family val="2"/>
        <scheme val="minor"/>
      </rPr>
      <t>th</t>
    </r>
  </si>
  <si>
    <r>
      <t>276</t>
    </r>
    <r>
      <rPr>
        <vertAlign val="superscript"/>
        <sz val="11"/>
        <color theme="1"/>
        <rFont val="Aptos Narrow"/>
        <family val="2"/>
        <scheme val="minor"/>
      </rPr>
      <t>th</t>
    </r>
  </si>
  <si>
    <r>
      <t>277</t>
    </r>
    <r>
      <rPr>
        <vertAlign val="superscript"/>
        <sz val="11"/>
        <color theme="1"/>
        <rFont val="Aptos Narrow"/>
        <family val="2"/>
        <scheme val="minor"/>
      </rPr>
      <t>th</t>
    </r>
  </si>
  <si>
    <r>
      <t>278</t>
    </r>
    <r>
      <rPr>
        <vertAlign val="superscript"/>
        <sz val="11"/>
        <color theme="1"/>
        <rFont val="Aptos Narrow"/>
        <family val="2"/>
        <scheme val="minor"/>
      </rPr>
      <t>th</t>
    </r>
  </si>
  <si>
    <r>
      <t>279</t>
    </r>
    <r>
      <rPr>
        <vertAlign val="superscript"/>
        <sz val="11"/>
        <color theme="1"/>
        <rFont val="Aptos Narrow"/>
        <family val="2"/>
        <scheme val="minor"/>
      </rPr>
      <t>th</t>
    </r>
  </si>
  <si>
    <r>
      <t>280</t>
    </r>
    <r>
      <rPr>
        <vertAlign val="superscript"/>
        <sz val="11"/>
        <color theme="1"/>
        <rFont val="Aptos Narrow"/>
        <family val="2"/>
        <scheme val="minor"/>
      </rPr>
      <t>th</t>
    </r>
  </si>
  <si>
    <r>
      <t>281</t>
    </r>
    <r>
      <rPr>
        <vertAlign val="superscript"/>
        <sz val="11"/>
        <color theme="1"/>
        <rFont val="Aptos Narrow"/>
        <family val="2"/>
        <scheme val="minor"/>
      </rPr>
      <t>st</t>
    </r>
  </si>
  <si>
    <r>
      <t>282</t>
    </r>
    <r>
      <rPr>
        <vertAlign val="superscript"/>
        <sz val="11"/>
        <color theme="1"/>
        <rFont val="Aptos Narrow"/>
        <family val="2"/>
        <scheme val="minor"/>
      </rPr>
      <t>nd</t>
    </r>
  </si>
  <si>
    <r>
      <t>283</t>
    </r>
    <r>
      <rPr>
        <vertAlign val="superscript"/>
        <sz val="11"/>
        <color theme="1"/>
        <rFont val="Aptos Narrow"/>
        <family val="2"/>
        <scheme val="minor"/>
      </rPr>
      <t>rd</t>
    </r>
  </si>
  <si>
    <r>
      <t>284</t>
    </r>
    <r>
      <rPr>
        <vertAlign val="superscript"/>
        <sz val="11"/>
        <color theme="1"/>
        <rFont val="Aptos Narrow"/>
        <family val="2"/>
        <scheme val="minor"/>
      </rPr>
      <t>th</t>
    </r>
  </si>
  <si>
    <r>
      <t>285</t>
    </r>
    <r>
      <rPr>
        <vertAlign val="superscript"/>
        <sz val="11"/>
        <color theme="1"/>
        <rFont val="Aptos Narrow"/>
        <family val="2"/>
        <scheme val="minor"/>
      </rPr>
      <t>th</t>
    </r>
  </si>
  <si>
    <r>
      <t>286</t>
    </r>
    <r>
      <rPr>
        <vertAlign val="superscript"/>
        <sz val="11"/>
        <color theme="1"/>
        <rFont val="Aptos Narrow"/>
        <family val="2"/>
        <scheme val="minor"/>
      </rPr>
      <t>th</t>
    </r>
  </si>
  <si>
    <r>
      <t>287</t>
    </r>
    <r>
      <rPr>
        <vertAlign val="superscript"/>
        <sz val="11"/>
        <color theme="1"/>
        <rFont val="Aptos Narrow"/>
        <family val="2"/>
        <scheme val="minor"/>
      </rPr>
      <t>th</t>
    </r>
  </si>
  <si>
    <r>
      <t>288</t>
    </r>
    <r>
      <rPr>
        <vertAlign val="superscript"/>
        <sz val="11"/>
        <color theme="1"/>
        <rFont val="Aptos Narrow"/>
        <family val="2"/>
        <scheme val="minor"/>
      </rPr>
      <t>th</t>
    </r>
  </si>
  <si>
    <r>
      <t>289</t>
    </r>
    <r>
      <rPr>
        <vertAlign val="superscript"/>
        <sz val="11"/>
        <color theme="1"/>
        <rFont val="Aptos Narrow"/>
        <family val="2"/>
        <scheme val="minor"/>
      </rPr>
      <t>th</t>
    </r>
  </si>
  <si>
    <r>
      <t>290</t>
    </r>
    <r>
      <rPr>
        <vertAlign val="superscript"/>
        <sz val="11"/>
        <color theme="1"/>
        <rFont val="Aptos Narrow"/>
        <family val="2"/>
        <scheme val="minor"/>
      </rPr>
      <t>th</t>
    </r>
  </si>
  <si>
    <r>
      <t>291</t>
    </r>
    <r>
      <rPr>
        <vertAlign val="superscript"/>
        <sz val="11"/>
        <color theme="1"/>
        <rFont val="Aptos Narrow"/>
        <family val="2"/>
        <scheme val="minor"/>
      </rPr>
      <t>st</t>
    </r>
  </si>
  <si>
    <r>
      <t>292</t>
    </r>
    <r>
      <rPr>
        <vertAlign val="superscript"/>
        <sz val="11"/>
        <color theme="1"/>
        <rFont val="Aptos Narrow"/>
        <family val="2"/>
        <scheme val="minor"/>
      </rPr>
      <t>nd</t>
    </r>
  </si>
  <si>
    <r>
      <t>293</t>
    </r>
    <r>
      <rPr>
        <vertAlign val="superscript"/>
        <sz val="11"/>
        <color theme="1"/>
        <rFont val="Aptos Narrow"/>
        <family val="2"/>
        <scheme val="minor"/>
      </rPr>
      <t>rd</t>
    </r>
  </si>
  <si>
    <r>
      <t>294</t>
    </r>
    <r>
      <rPr>
        <vertAlign val="superscript"/>
        <sz val="11"/>
        <color theme="1"/>
        <rFont val="Aptos Narrow"/>
        <family val="2"/>
        <scheme val="minor"/>
      </rPr>
      <t>th</t>
    </r>
  </si>
  <si>
    <r>
      <t>295</t>
    </r>
    <r>
      <rPr>
        <vertAlign val="superscript"/>
        <sz val="11"/>
        <color theme="1"/>
        <rFont val="Aptos Narrow"/>
        <family val="2"/>
        <scheme val="minor"/>
      </rPr>
      <t>th</t>
    </r>
  </si>
  <si>
    <r>
      <t>296</t>
    </r>
    <r>
      <rPr>
        <vertAlign val="superscript"/>
        <sz val="11"/>
        <color theme="1"/>
        <rFont val="Aptos Narrow"/>
        <family val="2"/>
        <scheme val="minor"/>
      </rPr>
      <t>th</t>
    </r>
  </si>
  <si>
    <r>
      <t>297</t>
    </r>
    <r>
      <rPr>
        <vertAlign val="superscript"/>
        <sz val="11"/>
        <color theme="1"/>
        <rFont val="Aptos Narrow"/>
        <family val="2"/>
        <scheme val="minor"/>
      </rPr>
      <t>th</t>
    </r>
  </si>
  <si>
    <r>
      <t>298</t>
    </r>
    <r>
      <rPr>
        <vertAlign val="superscript"/>
        <sz val="11"/>
        <color theme="1"/>
        <rFont val="Aptos Narrow"/>
        <family val="2"/>
        <scheme val="minor"/>
      </rPr>
      <t>th</t>
    </r>
  </si>
  <si>
    <r>
      <t>299</t>
    </r>
    <r>
      <rPr>
        <vertAlign val="superscript"/>
        <sz val="11"/>
        <color theme="1"/>
        <rFont val="Aptos Narrow"/>
        <family val="2"/>
        <scheme val="minor"/>
      </rPr>
      <t>th</t>
    </r>
  </si>
  <si>
    <r>
      <t>300</t>
    </r>
    <r>
      <rPr>
        <vertAlign val="superscript"/>
        <sz val="11"/>
        <color theme="1"/>
        <rFont val="Aptos Narrow"/>
        <family val="2"/>
        <scheme val="minor"/>
      </rPr>
      <t>th</t>
    </r>
  </si>
  <si>
    <r>
      <t>301</t>
    </r>
    <r>
      <rPr>
        <vertAlign val="superscript"/>
        <sz val="11"/>
        <color theme="1"/>
        <rFont val="Aptos Narrow"/>
        <family val="2"/>
        <scheme val="minor"/>
      </rPr>
      <t>st</t>
    </r>
  </si>
  <si>
    <r>
      <t>302</t>
    </r>
    <r>
      <rPr>
        <vertAlign val="superscript"/>
        <sz val="11"/>
        <color theme="1"/>
        <rFont val="Aptos Narrow"/>
        <family val="2"/>
        <scheme val="minor"/>
      </rPr>
      <t>nd</t>
    </r>
  </si>
  <si>
    <r>
      <t>303</t>
    </r>
    <r>
      <rPr>
        <vertAlign val="superscript"/>
        <sz val="11"/>
        <color theme="1"/>
        <rFont val="Aptos Narrow"/>
        <family val="2"/>
        <scheme val="minor"/>
      </rPr>
      <t>rd</t>
    </r>
  </si>
  <si>
    <r>
      <t>304</t>
    </r>
    <r>
      <rPr>
        <vertAlign val="superscript"/>
        <sz val="11"/>
        <color theme="1"/>
        <rFont val="Aptos Narrow"/>
        <family val="2"/>
        <scheme val="minor"/>
      </rPr>
      <t>th</t>
    </r>
  </si>
  <si>
    <r>
      <t>305</t>
    </r>
    <r>
      <rPr>
        <vertAlign val="superscript"/>
        <sz val="11"/>
        <color theme="1"/>
        <rFont val="Aptos Narrow"/>
        <family val="2"/>
        <scheme val="minor"/>
      </rPr>
      <t>th</t>
    </r>
  </si>
  <si>
    <r>
      <t>306</t>
    </r>
    <r>
      <rPr>
        <vertAlign val="superscript"/>
        <sz val="11"/>
        <color theme="1"/>
        <rFont val="Aptos Narrow"/>
        <family val="2"/>
        <scheme val="minor"/>
      </rPr>
      <t>th</t>
    </r>
  </si>
  <si>
    <r>
      <t>307</t>
    </r>
    <r>
      <rPr>
        <vertAlign val="superscript"/>
        <sz val="11"/>
        <color theme="1"/>
        <rFont val="Aptos Narrow"/>
        <family val="2"/>
        <scheme val="minor"/>
      </rPr>
      <t>th</t>
    </r>
  </si>
  <si>
    <r>
      <t>308</t>
    </r>
    <r>
      <rPr>
        <vertAlign val="superscript"/>
        <sz val="11"/>
        <color theme="1"/>
        <rFont val="Aptos Narrow"/>
        <family val="2"/>
        <scheme val="minor"/>
      </rPr>
      <t>th</t>
    </r>
  </si>
  <si>
    <r>
      <t>309</t>
    </r>
    <r>
      <rPr>
        <vertAlign val="superscript"/>
        <sz val="11"/>
        <color theme="1"/>
        <rFont val="Aptos Narrow"/>
        <family val="2"/>
        <scheme val="minor"/>
      </rPr>
      <t>th</t>
    </r>
  </si>
  <si>
    <r>
      <t>310</t>
    </r>
    <r>
      <rPr>
        <vertAlign val="superscript"/>
        <sz val="11"/>
        <color theme="1"/>
        <rFont val="Aptos Narrow"/>
        <family val="2"/>
        <scheme val="minor"/>
      </rPr>
      <t>th</t>
    </r>
  </si>
  <si>
    <r>
      <t>311</t>
    </r>
    <r>
      <rPr>
        <vertAlign val="superscript"/>
        <sz val="11"/>
        <color theme="1"/>
        <rFont val="Aptos Narrow"/>
        <family val="2"/>
        <scheme val="minor"/>
      </rPr>
      <t>th</t>
    </r>
  </si>
  <si>
    <r>
      <t>312</t>
    </r>
    <r>
      <rPr>
        <vertAlign val="superscript"/>
        <sz val="11"/>
        <color theme="1"/>
        <rFont val="Aptos Narrow"/>
        <family val="2"/>
        <scheme val="minor"/>
      </rPr>
      <t>th</t>
    </r>
  </si>
  <si>
    <r>
      <t>313</t>
    </r>
    <r>
      <rPr>
        <vertAlign val="superscript"/>
        <sz val="11"/>
        <color theme="1"/>
        <rFont val="Aptos Narrow"/>
        <family val="2"/>
        <scheme val="minor"/>
      </rPr>
      <t>th</t>
    </r>
  </si>
  <si>
    <r>
      <t>314</t>
    </r>
    <r>
      <rPr>
        <vertAlign val="superscript"/>
        <sz val="11"/>
        <color theme="1"/>
        <rFont val="Aptos Narrow"/>
        <family val="2"/>
        <scheme val="minor"/>
      </rPr>
      <t>th</t>
    </r>
  </si>
  <si>
    <r>
      <t>315</t>
    </r>
    <r>
      <rPr>
        <vertAlign val="superscript"/>
        <sz val="11"/>
        <color theme="1"/>
        <rFont val="Aptos Narrow"/>
        <family val="2"/>
        <scheme val="minor"/>
      </rPr>
      <t>th</t>
    </r>
  </si>
  <si>
    <r>
      <t>316</t>
    </r>
    <r>
      <rPr>
        <vertAlign val="superscript"/>
        <sz val="11"/>
        <color theme="1"/>
        <rFont val="Aptos Narrow"/>
        <family val="2"/>
        <scheme val="minor"/>
      </rPr>
      <t>th</t>
    </r>
  </si>
  <si>
    <r>
      <t>317</t>
    </r>
    <r>
      <rPr>
        <vertAlign val="superscript"/>
        <sz val="11"/>
        <color theme="1"/>
        <rFont val="Aptos Narrow"/>
        <family val="2"/>
        <scheme val="minor"/>
      </rPr>
      <t>th</t>
    </r>
  </si>
  <si>
    <r>
      <t>318</t>
    </r>
    <r>
      <rPr>
        <vertAlign val="superscript"/>
        <sz val="11"/>
        <color theme="1"/>
        <rFont val="Aptos Narrow"/>
        <family val="2"/>
        <scheme val="minor"/>
      </rPr>
      <t>th</t>
    </r>
  </si>
  <si>
    <r>
      <t>319</t>
    </r>
    <r>
      <rPr>
        <vertAlign val="superscript"/>
        <sz val="11"/>
        <color theme="1"/>
        <rFont val="Aptos Narrow"/>
        <family val="2"/>
        <scheme val="minor"/>
      </rPr>
      <t>th</t>
    </r>
  </si>
  <si>
    <r>
      <t>320</t>
    </r>
    <r>
      <rPr>
        <vertAlign val="superscript"/>
        <sz val="11"/>
        <color theme="1"/>
        <rFont val="Aptos Narrow"/>
        <family val="2"/>
        <scheme val="minor"/>
      </rPr>
      <t>th</t>
    </r>
  </si>
  <si>
    <r>
      <t>321</t>
    </r>
    <r>
      <rPr>
        <vertAlign val="superscript"/>
        <sz val="11"/>
        <color theme="1"/>
        <rFont val="Aptos Narrow"/>
        <family val="2"/>
        <scheme val="minor"/>
      </rPr>
      <t>st</t>
    </r>
  </si>
  <si>
    <r>
      <t>322</t>
    </r>
    <r>
      <rPr>
        <vertAlign val="superscript"/>
        <sz val="11"/>
        <color theme="1"/>
        <rFont val="Aptos Narrow"/>
        <family val="2"/>
        <scheme val="minor"/>
      </rPr>
      <t>nd</t>
    </r>
  </si>
  <si>
    <r>
      <t>323</t>
    </r>
    <r>
      <rPr>
        <vertAlign val="superscript"/>
        <sz val="11"/>
        <color theme="1"/>
        <rFont val="Aptos Narrow"/>
        <family val="2"/>
        <scheme val="minor"/>
      </rPr>
      <t>rd</t>
    </r>
  </si>
  <si>
    <r>
      <t>324</t>
    </r>
    <r>
      <rPr>
        <vertAlign val="superscript"/>
        <sz val="11"/>
        <color theme="1"/>
        <rFont val="Aptos Narrow"/>
        <family val="2"/>
        <scheme val="minor"/>
      </rPr>
      <t>th</t>
    </r>
  </si>
  <si>
    <r>
      <t>325</t>
    </r>
    <r>
      <rPr>
        <vertAlign val="superscript"/>
        <sz val="11"/>
        <color theme="1"/>
        <rFont val="Aptos Narrow"/>
        <family val="2"/>
        <scheme val="minor"/>
      </rPr>
      <t>th</t>
    </r>
  </si>
  <si>
    <r>
      <t>326</t>
    </r>
    <r>
      <rPr>
        <vertAlign val="superscript"/>
        <sz val="11"/>
        <color theme="1"/>
        <rFont val="Aptos Narrow"/>
        <family val="2"/>
        <scheme val="minor"/>
      </rPr>
      <t>th</t>
    </r>
  </si>
  <si>
    <r>
      <t>327</t>
    </r>
    <r>
      <rPr>
        <vertAlign val="superscript"/>
        <sz val="11"/>
        <color theme="1"/>
        <rFont val="Aptos Narrow"/>
        <family val="2"/>
        <scheme val="minor"/>
      </rPr>
      <t>th</t>
    </r>
  </si>
  <si>
    <r>
      <t>328</t>
    </r>
    <r>
      <rPr>
        <vertAlign val="superscript"/>
        <sz val="11"/>
        <color theme="1"/>
        <rFont val="Aptos Narrow"/>
        <family val="2"/>
        <scheme val="minor"/>
      </rPr>
      <t>th</t>
    </r>
  </si>
  <si>
    <r>
      <t>329</t>
    </r>
    <r>
      <rPr>
        <vertAlign val="superscript"/>
        <sz val="11"/>
        <color theme="1"/>
        <rFont val="Aptos Narrow"/>
        <family val="2"/>
        <scheme val="minor"/>
      </rPr>
      <t>th</t>
    </r>
  </si>
  <si>
    <r>
      <t>330</t>
    </r>
    <r>
      <rPr>
        <vertAlign val="superscript"/>
        <sz val="11"/>
        <color theme="1"/>
        <rFont val="Aptos Narrow"/>
        <family val="2"/>
        <scheme val="minor"/>
      </rPr>
      <t>th</t>
    </r>
  </si>
  <si>
    <r>
      <t>331</t>
    </r>
    <r>
      <rPr>
        <vertAlign val="superscript"/>
        <sz val="11"/>
        <color theme="1"/>
        <rFont val="Aptos Narrow"/>
        <family val="2"/>
        <scheme val="minor"/>
      </rPr>
      <t>st</t>
    </r>
  </si>
  <si>
    <r>
      <t>332</t>
    </r>
    <r>
      <rPr>
        <vertAlign val="superscript"/>
        <sz val="11"/>
        <color theme="1"/>
        <rFont val="Aptos Narrow"/>
        <family val="2"/>
        <scheme val="minor"/>
      </rPr>
      <t>nd</t>
    </r>
  </si>
  <si>
    <r>
      <t>333</t>
    </r>
    <r>
      <rPr>
        <vertAlign val="superscript"/>
        <sz val="11"/>
        <color theme="1"/>
        <rFont val="Aptos Narrow"/>
        <family val="2"/>
        <scheme val="minor"/>
      </rPr>
      <t>rd</t>
    </r>
  </si>
  <si>
    <r>
      <t>334</t>
    </r>
    <r>
      <rPr>
        <vertAlign val="superscript"/>
        <sz val="11"/>
        <color theme="1"/>
        <rFont val="Aptos Narrow"/>
        <family val="2"/>
        <scheme val="minor"/>
      </rPr>
      <t>th</t>
    </r>
  </si>
  <si>
    <r>
      <t>335</t>
    </r>
    <r>
      <rPr>
        <vertAlign val="superscript"/>
        <sz val="11"/>
        <color theme="1"/>
        <rFont val="Aptos Narrow"/>
        <family val="2"/>
        <scheme val="minor"/>
      </rPr>
      <t>th</t>
    </r>
  </si>
  <si>
    <r>
      <t>336</t>
    </r>
    <r>
      <rPr>
        <vertAlign val="superscript"/>
        <sz val="11"/>
        <color theme="1"/>
        <rFont val="Aptos Narrow"/>
        <family val="2"/>
        <scheme val="minor"/>
      </rPr>
      <t>th</t>
    </r>
  </si>
  <si>
    <r>
      <t>337</t>
    </r>
    <r>
      <rPr>
        <vertAlign val="superscript"/>
        <sz val="11"/>
        <color theme="1"/>
        <rFont val="Aptos Narrow"/>
        <family val="2"/>
        <scheme val="minor"/>
      </rPr>
      <t>th</t>
    </r>
  </si>
  <si>
    <r>
      <t>338</t>
    </r>
    <r>
      <rPr>
        <vertAlign val="superscript"/>
        <sz val="11"/>
        <color theme="1"/>
        <rFont val="Aptos Narrow"/>
        <family val="2"/>
        <scheme val="minor"/>
      </rPr>
      <t>th</t>
    </r>
  </si>
  <si>
    <r>
      <t>339</t>
    </r>
    <r>
      <rPr>
        <vertAlign val="superscript"/>
        <sz val="11"/>
        <color theme="1"/>
        <rFont val="Aptos Narrow"/>
        <family val="2"/>
        <scheme val="minor"/>
      </rPr>
      <t>th</t>
    </r>
  </si>
  <si>
    <r>
      <t>340</t>
    </r>
    <r>
      <rPr>
        <vertAlign val="superscript"/>
        <sz val="11"/>
        <color theme="1"/>
        <rFont val="Aptos Narrow"/>
        <family val="2"/>
        <scheme val="minor"/>
      </rPr>
      <t>th</t>
    </r>
  </si>
  <si>
    <r>
      <t>341</t>
    </r>
    <r>
      <rPr>
        <vertAlign val="superscript"/>
        <sz val="11"/>
        <color theme="1"/>
        <rFont val="Aptos Narrow"/>
        <family val="2"/>
        <scheme val="minor"/>
      </rPr>
      <t>st</t>
    </r>
  </si>
  <si>
    <r>
      <t>342</t>
    </r>
    <r>
      <rPr>
        <vertAlign val="superscript"/>
        <sz val="11"/>
        <color theme="1"/>
        <rFont val="Aptos Narrow"/>
        <family val="2"/>
        <scheme val="minor"/>
      </rPr>
      <t>nd</t>
    </r>
  </si>
  <si>
    <r>
      <t>343</t>
    </r>
    <r>
      <rPr>
        <vertAlign val="superscript"/>
        <sz val="11"/>
        <color theme="1"/>
        <rFont val="Aptos Narrow"/>
        <family val="2"/>
        <scheme val="minor"/>
      </rPr>
      <t>rd</t>
    </r>
  </si>
  <si>
    <r>
      <t>344</t>
    </r>
    <r>
      <rPr>
        <vertAlign val="superscript"/>
        <sz val="11"/>
        <color theme="1"/>
        <rFont val="Aptos Narrow"/>
        <family val="2"/>
        <scheme val="minor"/>
      </rPr>
      <t>th</t>
    </r>
  </si>
  <si>
    <r>
      <t>345</t>
    </r>
    <r>
      <rPr>
        <vertAlign val="superscript"/>
        <sz val="11"/>
        <color theme="1"/>
        <rFont val="Aptos Narrow"/>
        <family val="2"/>
        <scheme val="minor"/>
      </rPr>
      <t>th</t>
    </r>
  </si>
  <si>
    <r>
      <t>346</t>
    </r>
    <r>
      <rPr>
        <vertAlign val="superscript"/>
        <sz val="11"/>
        <color theme="1"/>
        <rFont val="Aptos Narrow"/>
        <family val="2"/>
        <scheme val="minor"/>
      </rPr>
      <t>th</t>
    </r>
  </si>
  <si>
    <r>
      <t>347</t>
    </r>
    <r>
      <rPr>
        <vertAlign val="superscript"/>
        <sz val="11"/>
        <color theme="1"/>
        <rFont val="Aptos Narrow"/>
        <family val="2"/>
        <scheme val="minor"/>
      </rPr>
      <t>th</t>
    </r>
  </si>
  <si>
    <r>
      <t>348</t>
    </r>
    <r>
      <rPr>
        <vertAlign val="superscript"/>
        <sz val="11"/>
        <color theme="1"/>
        <rFont val="Aptos Narrow"/>
        <family val="2"/>
        <scheme val="minor"/>
      </rPr>
      <t>th</t>
    </r>
  </si>
  <si>
    <r>
      <t>349</t>
    </r>
    <r>
      <rPr>
        <vertAlign val="superscript"/>
        <sz val="11"/>
        <color theme="1"/>
        <rFont val="Aptos Narrow"/>
        <family val="2"/>
        <scheme val="minor"/>
      </rPr>
      <t>th</t>
    </r>
  </si>
  <si>
    <r>
      <t>350</t>
    </r>
    <r>
      <rPr>
        <vertAlign val="superscript"/>
        <sz val="11"/>
        <color theme="1"/>
        <rFont val="Aptos Narrow"/>
        <family val="2"/>
        <scheme val="minor"/>
      </rPr>
      <t>th</t>
    </r>
  </si>
  <si>
    <r>
      <t>351</t>
    </r>
    <r>
      <rPr>
        <vertAlign val="superscript"/>
        <sz val="11"/>
        <color theme="1"/>
        <rFont val="Aptos Narrow"/>
        <family val="2"/>
        <scheme val="minor"/>
      </rPr>
      <t>st</t>
    </r>
  </si>
  <si>
    <r>
      <t>352</t>
    </r>
    <r>
      <rPr>
        <vertAlign val="superscript"/>
        <sz val="11"/>
        <color theme="1"/>
        <rFont val="Aptos Narrow"/>
        <family val="2"/>
        <scheme val="minor"/>
      </rPr>
      <t>nd</t>
    </r>
  </si>
  <si>
    <r>
      <t>353</t>
    </r>
    <r>
      <rPr>
        <vertAlign val="superscript"/>
        <sz val="11"/>
        <color theme="1"/>
        <rFont val="Aptos Narrow"/>
        <family val="2"/>
        <scheme val="minor"/>
      </rPr>
      <t>rd</t>
    </r>
  </si>
  <si>
    <r>
      <t>354</t>
    </r>
    <r>
      <rPr>
        <vertAlign val="superscript"/>
        <sz val="11"/>
        <color theme="1"/>
        <rFont val="Aptos Narrow"/>
        <family val="2"/>
        <scheme val="minor"/>
      </rPr>
      <t>th</t>
    </r>
  </si>
  <si>
    <r>
      <t>355</t>
    </r>
    <r>
      <rPr>
        <vertAlign val="superscript"/>
        <sz val="11"/>
        <color theme="1"/>
        <rFont val="Aptos Narrow"/>
        <family val="2"/>
        <scheme val="minor"/>
      </rPr>
      <t>th</t>
    </r>
  </si>
  <si>
    <r>
      <t>356</t>
    </r>
    <r>
      <rPr>
        <vertAlign val="superscript"/>
        <sz val="11"/>
        <color theme="1"/>
        <rFont val="Aptos Narrow"/>
        <family val="2"/>
        <scheme val="minor"/>
      </rPr>
      <t>th</t>
    </r>
  </si>
  <si>
    <r>
      <t>357</t>
    </r>
    <r>
      <rPr>
        <vertAlign val="superscript"/>
        <sz val="11"/>
        <color theme="1"/>
        <rFont val="Aptos Narrow"/>
        <family val="2"/>
        <scheme val="minor"/>
      </rPr>
      <t>th</t>
    </r>
  </si>
  <si>
    <r>
      <t>358</t>
    </r>
    <r>
      <rPr>
        <vertAlign val="superscript"/>
        <sz val="11"/>
        <color theme="1"/>
        <rFont val="Aptos Narrow"/>
        <family val="2"/>
        <scheme val="minor"/>
      </rPr>
      <t>th</t>
    </r>
  </si>
  <si>
    <r>
      <t>359</t>
    </r>
    <r>
      <rPr>
        <vertAlign val="superscript"/>
        <sz val="11"/>
        <color theme="1"/>
        <rFont val="Aptos Narrow"/>
        <family val="2"/>
        <scheme val="minor"/>
      </rPr>
      <t>th</t>
    </r>
  </si>
  <si>
    <r>
      <t>360</t>
    </r>
    <r>
      <rPr>
        <vertAlign val="superscript"/>
        <sz val="11"/>
        <color theme="1"/>
        <rFont val="Aptos Narrow"/>
        <family val="2"/>
        <scheme val="minor"/>
      </rPr>
      <t>th</t>
    </r>
  </si>
  <si>
    <r>
      <t>361</t>
    </r>
    <r>
      <rPr>
        <vertAlign val="superscript"/>
        <sz val="11"/>
        <color theme="1"/>
        <rFont val="Aptos Narrow"/>
        <family val="2"/>
        <scheme val="minor"/>
      </rPr>
      <t>st</t>
    </r>
  </si>
  <si>
    <r>
      <t>362</t>
    </r>
    <r>
      <rPr>
        <vertAlign val="superscript"/>
        <sz val="11"/>
        <color theme="1"/>
        <rFont val="Aptos Narrow"/>
        <family val="2"/>
        <scheme val="minor"/>
      </rPr>
      <t>nd</t>
    </r>
  </si>
  <si>
    <r>
      <t>363</t>
    </r>
    <r>
      <rPr>
        <vertAlign val="superscript"/>
        <sz val="11"/>
        <color theme="1"/>
        <rFont val="Aptos Narrow"/>
        <family val="2"/>
        <scheme val="minor"/>
      </rPr>
      <t>rd</t>
    </r>
  </si>
  <si>
    <r>
      <t>364</t>
    </r>
    <r>
      <rPr>
        <vertAlign val="superscript"/>
        <sz val="11"/>
        <color theme="1"/>
        <rFont val="Aptos Narrow"/>
        <family val="2"/>
        <scheme val="minor"/>
      </rPr>
      <t>th</t>
    </r>
  </si>
  <si>
    <r>
      <t>365</t>
    </r>
    <r>
      <rPr>
        <vertAlign val="superscript"/>
        <sz val="11"/>
        <color theme="1"/>
        <rFont val="Aptos Narrow"/>
        <family val="2"/>
        <scheme val="minor"/>
      </rPr>
      <t>th</t>
    </r>
  </si>
  <si>
    <r>
      <t>366</t>
    </r>
    <r>
      <rPr>
        <vertAlign val="superscript"/>
        <sz val="11"/>
        <color theme="1"/>
        <rFont val="Aptos Narrow"/>
        <family val="2"/>
        <scheme val="minor"/>
      </rPr>
      <t>th</t>
    </r>
  </si>
  <si>
    <r>
      <t>367</t>
    </r>
    <r>
      <rPr>
        <vertAlign val="superscript"/>
        <sz val="11"/>
        <color theme="1"/>
        <rFont val="Aptos Narrow"/>
        <family val="2"/>
        <scheme val="minor"/>
      </rPr>
      <t>th</t>
    </r>
  </si>
  <si>
    <r>
      <t>368</t>
    </r>
    <r>
      <rPr>
        <vertAlign val="superscript"/>
        <sz val="11"/>
        <color theme="1"/>
        <rFont val="Aptos Narrow"/>
        <family val="2"/>
        <scheme val="minor"/>
      </rPr>
      <t>th</t>
    </r>
  </si>
  <si>
    <r>
      <t>369</t>
    </r>
    <r>
      <rPr>
        <vertAlign val="superscript"/>
        <sz val="11"/>
        <color theme="1"/>
        <rFont val="Aptos Narrow"/>
        <family val="2"/>
        <scheme val="minor"/>
      </rPr>
      <t>th</t>
    </r>
  </si>
  <si>
    <r>
      <t>370</t>
    </r>
    <r>
      <rPr>
        <vertAlign val="superscript"/>
        <sz val="11"/>
        <color theme="1"/>
        <rFont val="Aptos Narrow"/>
        <family val="2"/>
        <scheme val="minor"/>
      </rPr>
      <t>th</t>
    </r>
  </si>
  <si>
    <r>
      <t>371</t>
    </r>
    <r>
      <rPr>
        <vertAlign val="superscript"/>
        <sz val="11"/>
        <color theme="1"/>
        <rFont val="Aptos Narrow"/>
        <family val="2"/>
        <scheme val="minor"/>
      </rPr>
      <t>st</t>
    </r>
  </si>
  <si>
    <r>
      <t>372</t>
    </r>
    <r>
      <rPr>
        <vertAlign val="superscript"/>
        <sz val="11"/>
        <color theme="1"/>
        <rFont val="Aptos Narrow"/>
        <family val="2"/>
        <scheme val="minor"/>
      </rPr>
      <t>nd</t>
    </r>
  </si>
  <si>
    <r>
      <t>373</t>
    </r>
    <r>
      <rPr>
        <vertAlign val="superscript"/>
        <sz val="11"/>
        <color theme="1"/>
        <rFont val="Aptos Narrow"/>
        <family val="2"/>
        <scheme val="minor"/>
      </rPr>
      <t>rd</t>
    </r>
  </si>
  <si>
    <r>
      <t>374</t>
    </r>
    <r>
      <rPr>
        <vertAlign val="superscript"/>
        <sz val="11"/>
        <color theme="1"/>
        <rFont val="Aptos Narrow"/>
        <family val="2"/>
        <scheme val="minor"/>
      </rPr>
      <t>th</t>
    </r>
  </si>
  <si>
    <r>
      <t>375</t>
    </r>
    <r>
      <rPr>
        <vertAlign val="superscript"/>
        <sz val="11"/>
        <color theme="1"/>
        <rFont val="Aptos Narrow"/>
        <family val="2"/>
        <scheme val="minor"/>
      </rPr>
      <t>th</t>
    </r>
  </si>
  <si>
    <r>
      <t>376</t>
    </r>
    <r>
      <rPr>
        <vertAlign val="superscript"/>
        <sz val="11"/>
        <color theme="1"/>
        <rFont val="Aptos Narrow"/>
        <family val="2"/>
        <scheme val="minor"/>
      </rPr>
      <t>th</t>
    </r>
  </si>
  <si>
    <r>
      <t>377</t>
    </r>
    <r>
      <rPr>
        <vertAlign val="superscript"/>
        <sz val="11"/>
        <color theme="1"/>
        <rFont val="Aptos Narrow"/>
        <family val="2"/>
        <scheme val="minor"/>
      </rPr>
      <t>th</t>
    </r>
  </si>
  <si>
    <r>
      <t>378</t>
    </r>
    <r>
      <rPr>
        <vertAlign val="superscript"/>
        <sz val="11"/>
        <color theme="1"/>
        <rFont val="Aptos Narrow"/>
        <family val="2"/>
        <scheme val="minor"/>
      </rPr>
      <t>th</t>
    </r>
  </si>
  <si>
    <r>
      <t>379</t>
    </r>
    <r>
      <rPr>
        <vertAlign val="superscript"/>
        <sz val="11"/>
        <color theme="1"/>
        <rFont val="Aptos Narrow"/>
        <family val="2"/>
        <scheme val="minor"/>
      </rPr>
      <t>th</t>
    </r>
  </si>
  <si>
    <r>
      <t>380</t>
    </r>
    <r>
      <rPr>
        <vertAlign val="superscript"/>
        <sz val="11"/>
        <color theme="1"/>
        <rFont val="Aptos Narrow"/>
        <family val="2"/>
        <scheme val="minor"/>
      </rPr>
      <t>th</t>
    </r>
  </si>
  <si>
    <r>
      <t>381</t>
    </r>
    <r>
      <rPr>
        <vertAlign val="superscript"/>
        <sz val="11"/>
        <color theme="1"/>
        <rFont val="Aptos Narrow"/>
        <family val="2"/>
        <scheme val="minor"/>
      </rPr>
      <t>st</t>
    </r>
  </si>
  <si>
    <r>
      <t>382</t>
    </r>
    <r>
      <rPr>
        <vertAlign val="superscript"/>
        <sz val="11"/>
        <color theme="1"/>
        <rFont val="Aptos Narrow"/>
        <family val="2"/>
        <scheme val="minor"/>
      </rPr>
      <t>nd</t>
    </r>
  </si>
  <si>
    <r>
      <t>383</t>
    </r>
    <r>
      <rPr>
        <vertAlign val="superscript"/>
        <sz val="11"/>
        <color theme="1"/>
        <rFont val="Aptos Narrow"/>
        <family val="2"/>
        <scheme val="minor"/>
      </rPr>
      <t>rd</t>
    </r>
  </si>
  <si>
    <r>
      <t>384</t>
    </r>
    <r>
      <rPr>
        <vertAlign val="superscript"/>
        <sz val="11"/>
        <color theme="1"/>
        <rFont val="Aptos Narrow"/>
        <family val="2"/>
        <scheme val="minor"/>
      </rPr>
      <t>th</t>
    </r>
  </si>
  <si>
    <r>
      <t>385</t>
    </r>
    <r>
      <rPr>
        <vertAlign val="superscript"/>
        <sz val="11"/>
        <color theme="1"/>
        <rFont val="Aptos Narrow"/>
        <family val="2"/>
        <scheme val="minor"/>
      </rPr>
      <t>th</t>
    </r>
  </si>
  <si>
    <r>
      <t>386</t>
    </r>
    <r>
      <rPr>
        <vertAlign val="superscript"/>
        <sz val="11"/>
        <color theme="1"/>
        <rFont val="Aptos Narrow"/>
        <family val="2"/>
        <scheme val="minor"/>
      </rPr>
      <t>th</t>
    </r>
  </si>
  <si>
    <r>
      <t>387</t>
    </r>
    <r>
      <rPr>
        <vertAlign val="superscript"/>
        <sz val="11"/>
        <color theme="1"/>
        <rFont val="Aptos Narrow"/>
        <family val="2"/>
        <scheme val="minor"/>
      </rPr>
      <t>th</t>
    </r>
  </si>
  <si>
    <r>
      <t>388</t>
    </r>
    <r>
      <rPr>
        <vertAlign val="superscript"/>
        <sz val="11"/>
        <color theme="1"/>
        <rFont val="Aptos Narrow"/>
        <family val="2"/>
        <scheme val="minor"/>
      </rPr>
      <t>th</t>
    </r>
  </si>
  <si>
    <r>
      <t>389</t>
    </r>
    <r>
      <rPr>
        <vertAlign val="superscript"/>
        <sz val="11"/>
        <color theme="1"/>
        <rFont val="Aptos Narrow"/>
        <family val="2"/>
        <scheme val="minor"/>
      </rPr>
      <t>th</t>
    </r>
  </si>
  <si>
    <r>
      <t>390</t>
    </r>
    <r>
      <rPr>
        <vertAlign val="superscript"/>
        <sz val="11"/>
        <color theme="1"/>
        <rFont val="Aptos Narrow"/>
        <family val="2"/>
        <scheme val="minor"/>
      </rPr>
      <t>th</t>
    </r>
  </si>
  <si>
    <r>
      <t>391</t>
    </r>
    <r>
      <rPr>
        <vertAlign val="superscript"/>
        <sz val="11"/>
        <color theme="1"/>
        <rFont val="Aptos Narrow"/>
        <family val="2"/>
        <scheme val="minor"/>
      </rPr>
      <t>st</t>
    </r>
  </si>
  <si>
    <r>
      <t>392</t>
    </r>
    <r>
      <rPr>
        <vertAlign val="superscript"/>
        <sz val="11"/>
        <color theme="1"/>
        <rFont val="Aptos Narrow"/>
        <family val="2"/>
        <scheme val="minor"/>
      </rPr>
      <t>nd</t>
    </r>
  </si>
  <si>
    <r>
      <t>393</t>
    </r>
    <r>
      <rPr>
        <vertAlign val="superscript"/>
        <sz val="11"/>
        <color theme="1"/>
        <rFont val="Aptos Narrow"/>
        <family val="2"/>
        <scheme val="minor"/>
      </rPr>
      <t>rd</t>
    </r>
  </si>
  <si>
    <r>
      <t>394</t>
    </r>
    <r>
      <rPr>
        <vertAlign val="superscript"/>
        <sz val="11"/>
        <color theme="1"/>
        <rFont val="Aptos Narrow"/>
        <family val="2"/>
        <scheme val="minor"/>
      </rPr>
      <t>th</t>
    </r>
  </si>
  <si>
    <r>
      <t>395</t>
    </r>
    <r>
      <rPr>
        <vertAlign val="superscript"/>
        <sz val="11"/>
        <color theme="1"/>
        <rFont val="Aptos Narrow"/>
        <family val="2"/>
        <scheme val="minor"/>
      </rPr>
      <t>th</t>
    </r>
  </si>
  <si>
    <r>
      <t>396</t>
    </r>
    <r>
      <rPr>
        <vertAlign val="superscript"/>
        <sz val="11"/>
        <color theme="1"/>
        <rFont val="Aptos Narrow"/>
        <family val="2"/>
        <scheme val="minor"/>
      </rPr>
      <t>th</t>
    </r>
  </si>
  <si>
    <r>
      <t>397</t>
    </r>
    <r>
      <rPr>
        <vertAlign val="superscript"/>
        <sz val="11"/>
        <color theme="1"/>
        <rFont val="Aptos Narrow"/>
        <family val="2"/>
        <scheme val="minor"/>
      </rPr>
      <t>th</t>
    </r>
  </si>
  <si>
    <r>
      <t>398</t>
    </r>
    <r>
      <rPr>
        <vertAlign val="superscript"/>
        <sz val="11"/>
        <color theme="1"/>
        <rFont val="Aptos Narrow"/>
        <family val="2"/>
        <scheme val="minor"/>
      </rPr>
      <t>th</t>
    </r>
  </si>
  <si>
    <r>
      <t>399</t>
    </r>
    <r>
      <rPr>
        <vertAlign val="superscript"/>
        <sz val="11"/>
        <color theme="1"/>
        <rFont val="Aptos Narrow"/>
        <family val="2"/>
        <scheme val="minor"/>
      </rPr>
      <t>th</t>
    </r>
  </si>
  <si>
    <r>
      <t>400</t>
    </r>
    <r>
      <rPr>
        <vertAlign val="superscript"/>
        <sz val="11"/>
        <color theme="1"/>
        <rFont val="Aptos Narrow"/>
        <family val="2"/>
        <scheme val="minor"/>
      </rPr>
      <t>th</t>
    </r>
  </si>
  <si>
    <r>
      <t>401</t>
    </r>
    <r>
      <rPr>
        <vertAlign val="superscript"/>
        <sz val="11"/>
        <color theme="1"/>
        <rFont val="Aptos Narrow"/>
        <family val="2"/>
        <scheme val="minor"/>
      </rPr>
      <t>st</t>
    </r>
  </si>
  <si>
    <r>
      <t>402</t>
    </r>
    <r>
      <rPr>
        <vertAlign val="superscript"/>
        <sz val="11"/>
        <color theme="1"/>
        <rFont val="Aptos Narrow"/>
        <family val="2"/>
        <scheme val="minor"/>
      </rPr>
      <t>nd</t>
    </r>
  </si>
  <si>
    <r>
      <t>403</t>
    </r>
    <r>
      <rPr>
        <vertAlign val="superscript"/>
        <sz val="11"/>
        <color theme="1"/>
        <rFont val="Aptos Narrow"/>
        <family val="2"/>
        <scheme val="minor"/>
      </rPr>
      <t>rd</t>
    </r>
  </si>
  <si>
    <r>
      <t>404</t>
    </r>
    <r>
      <rPr>
        <vertAlign val="superscript"/>
        <sz val="11"/>
        <color theme="1"/>
        <rFont val="Aptos Narrow"/>
        <family val="2"/>
        <scheme val="minor"/>
      </rPr>
      <t>th</t>
    </r>
  </si>
  <si>
    <r>
      <t>405</t>
    </r>
    <r>
      <rPr>
        <vertAlign val="superscript"/>
        <sz val="11"/>
        <color theme="1"/>
        <rFont val="Aptos Narrow"/>
        <family val="2"/>
        <scheme val="minor"/>
      </rPr>
      <t>th</t>
    </r>
  </si>
  <si>
    <r>
      <t>406</t>
    </r>
    <r>
      <rPr>
        <vertAlign val="superscript"/>
        <sz val="11"/>
        <color theme="1"/>
        <rFont val="Aptos Narrow"/>
        <family val="2"/>
        <scheme val="minor"/>
      </rPr>
      <t>th</t>
    </r>
  </si>
  <si>
    <r>
      <t>407</t>
    </r>
    <r>
      <rPr>
        <vertAlign val="superscript"/>
        <sz val="11"/>
        <color theme="1"/>
        <rFont val="Aptos Narrow"/>
        <family val="2"/>
        <scheme val="minor"/>
      </rPr>
      <t>th</t>
    </r>
  </si>
  <si>
    <r>
      <t>408</t>
    </r>
    <r>
      <rPr>
        <vertAlign val="superscript"/>
        <sz val="11"/>
        <color theme="1"/>
        <rFont val="Aptos Narrow"/>
        <family val="2"/>
        <scheme val="minor"/>
      </rPr>
      <t>th</t>
    </r>
  </si>
  <si>
    <r>
      <t>409</t>
    </r>
    <r>
      <rPr>
        <vertAlign val="superscript"/>
        <sz val="11"/>
        <color theme="1"/>
        <rFont val="Aptos Narrow"/>
        <family val="2"/>
        <scheme val="minor"/>
      </rPr>
      <t>th</t>
    </r>
  </si>
  <si>
    <r>
      <t>410</t>
    </r>
    <r>
      <rPr>
        <vertAlign val="superscript"/>
        <sz val="11"/>
        <color theme="1"/>
        <rFont val="Aptos Narrow"/>
        <family val="2"/>
        <scheme val="minor"/>
      </rPr>
      <t>th</t>
    </r>
  </si>
  <si>
    <r>
      <t>411</t>
    </r>
    <r>
      <rPr>
        <vertAlign val="superscript"/>
        <sz val="11"/>
        <color theme="1"/>
        <rFont val="Aptos Narrow"/>
        <family val="2"/>
        <scheme val="minor"/>
      </rPr>
      <t>th</t>
    </r>
  </si>
  <si>
    <r>
      <t>412</t>
    </r>
    <r>
      <rPr>
        <vertAlign val="superscript"/>
        <sz val="11"/>
        <color theme="1"/>
        <rFont val="Aptos Narrow"/>
        <family val="2"/>
        <scheme val="minor"/>
      </rPr>
      <t>th</t>
    </r>
  </si>
  <si>
    <r>
      <t>413</t>
    </r>
    <r>
      <rPr>
        <vertAlign val="superscript"/>
        <sz val="11"/>
        <color theme="1"/>
        <rFont val="Aptos Narrow"/>
        <family val="2"/>
        <scheme val="minor"/>
      </rPr>
      <t>th</t>
    </r>
  </si>
  <si>
    <r>
      <t>414</t>
    </r>
    <r>
      <rPr>
        <vertAlign val="superscript"/>
        <sz val="11"/>
        <color theme="1"/>
        <rFont val="Aptos Narrow"/>
        <family val="2"/>
        <scheme val="minor"/>
      </rPr>
      <t>th</t>
    </r>
  </si>
  <si>
    <r>
      <t>415</t>
    </r>
    <r>
      <rPr>
        <vertAlign val="superscript"/>
        <sz val="11"/>
        <color theme="1"/>
        <rFont val="Aptos Narrow"/>
        <family val="2"/>
        <scheme val="minor"/>
      </rPr>
      <t>th</t>
    </r>
  </si>
  <si>
    <r>
      <t>416</t>
    </r>
    <r>
      <rPr>
        <vertAlign val="superscript"/>
        <sz val="11"/>
        <color theme="1"/>
        <rFont val="Aptos Narrow"/>
        <family val="2"/>
        <scheme val="minor"/>
      </rPr>
      <t>th</t>
    </r>
  </si>
  <si>
    <r>
      <t>417</t>
    </r>
    <r>
      <rPr>
        <vertAlign val="superscript"/>
        <sz val="11"/>
        <color theme="1"/>
        <rFont val="Aptos Narrow"/>
        <family val="2"/>
        <scheme val="minor"/>
      </rPr>
      <t>th</t>
    </r>
  </si>
  <si>
    <r>
      <t>418</t>
    </r>
    <r>
      <rPr>
        <vertAlign val="superscript"/>
        <sz val="11"/>
        <color theme="1"/>
        <rFont val="Aptos Narrow"/>
        <family val="2"/>
        <scheme val="minor"/>
      </rPr>
      <t>th</t>
    </r>
  </si>
  <si>
    <r>
      <t>419</t>
    </r>
    <r>
      <rPr>
        <vertAlign val="superscript"/>
        <sz val="11"/>
        <color theme="1"/>
        <rFont val="Aptos Narrow"/>
        <family val="2"/>
        <scheme val="minor"/>
      </rPr>
      <t>th</t>
    </r>
  </si>
  <si>
    <r>
      <t>420</t>
    </r>
    <r>
      <rPr>
        <vertAlign val="superscript"/>
        <sz val="11"/>
        <color theme="1"/>
        <rFont val="Aptos Narrow"/>
        <family val="2"/>
        <scheme val="minor"/>
      </rPr>
      <t>th</t>
    </r>
  </si>
  <si>
    <r>
      <t>421</t>
    </r>
    <r>
      <rPr>
        <vertAlign val="superscript"/>
        <sz val="11"/>
        <color theme="1"/>
        <rFont val="Aptos Narrow"/>
        <family val="2"/>
        <scheme val="minor"/>
      </rPr>
      <t>st</t>
    </r>
  </si>
  <si>
    <r>
      <t>422</t>
    </r>
    <r>
      <rPr>
        <vertAlign val="superscript"/>
        <sz val="11"/>
        <color theme="1"/>
        <rFont val="Aptos Narrow"/>
        <family val="2"/>
        <scheme val="minor"/>
      </rPr>
      <t>nd</t>
    </r>
  </si>
  <si>
    <r>
      <t>423</t>
    </r>
    <r>
      <rPr>
        <vertAlign val="superscript"/>
        <sz val="11"/>
        <color theme="1"/>
        <rFont val="Aptos Narrow"/>
        <family val="2"/>
        <scheme val="minor"/>
      </rPr>
      <t>rd</t>
    </r>
  </si>
  <si>
    <r>
      <t>424</t>
    </r>
    <r>
      <rPr>
        <vertAlign val="superscript"/>
        <sz val="11"/>
        <color theme="1"/>
        <rFont val="Aptos Narrow"/>
        <family val="2"/>
        <scheme val="minor"/>
      </rPr>
      <t>th</t>
    </r>
  </si>
  <si>
    <r>
      <t>425</t>
    </r>
    <r>
      <rPr>
        <vertAlign val="superscript"/>
        <sz val="11"/>
        <color theme="1"/>
        <rFont val="Aptos Narrow"/>
        <family val="2"/>
        <scheme val="minor"/>
      </rPr>
      <t>th</t>
    </r>
  </si>
  <si>
    <r>
      <t>426</t>
    </r>
    <r>
      <rPr>
        <vertAlign val="superscript"/>
        <sz val="11"/>
        <color theme="1"/>
        <rFont val="Aptos Narrow"/>
        <family val="2"/>
        <scheme val="minor"/>
      </rPr>
      <t>th</t>
    </r>
  </si>
  <si>
    <r>
      <t>427</t>
    </r>
    <r>
      <rPr>
        <vertAlign val="superscript"/>
        <sz val="11"/>
        <color theme="1"/>
        <rFont val="Aptos Narrow"/>
        <family val="2"/>
        <scheme val="minor"/>
      </rPr>
      <t>th</t>
    </r>
  </si>
  <si>
    <r>
      <t>428</t>
    </r>
    <r>
      <rPr>
        <vertAlign val="superscript"/>
        <sz val="11"/>
        <color theme="1"/>
        <rFont val="Aptos Narrow"/>
        <family val="2"/>
        <scheme val="minor"/>
      </rPr>
      <t>th</t>
    </r>
  </si>
  <si>
    <r>
      <t>429</t>
    </r>
    <r>
      <rPr>
        <vertAlign val="superscript"/>
        <sz val="11"/>
        <color theme="1"/>
        <rFont val="Aptos Narrow"/>
        <family val="2"/>
        <scheme val="minor"/>
      </rPr>
      <t>th</t>
    </r>
  </si>
  <si>
    <r>
      <t>430</t>
    </r>
    <r>
      <rPr>
        <vertAlign val="superscript"/>
        <sz val="11"/>
        <color theme="1"/>
        <rFont val="Aptos Narrow"/>
        <family val="2"/>
        <scheme val="minor"/>
      </rPr>
      <t>th</t>
    </r>
  </si>
  <si>
    <r>
      <t>431</t>
    </r>
    <r>
      <rPr>
        <vertAlign val="superscript"/>
        <sz val="11"/>
        <color theme="1"/>
        <rFont val="Aptos Narrow"/>
        <family val="2"/>
        <scheme val="minor"/>
      </rPr>
      <t>st</t>
    </r>
  </si>
  <si>
    <r>
      <t>432</t>
    </r>
    <r>
      <rPr>
        <vertAlign val="superscript"/>
        <sz val="11"/>
        <color theme="1"/>
        <rFont val="Aptos Narrow"/>
        <family val="2"/>
        <scheme val="minor"/>
      </rPr>
      <t>nd</t>
    </r>
  </si>
  <si>
    <r>
      <t>433</t>
    </r>
    <r>
      <rPr>
        <vertAlign val="superscript"/>
        <sz val="11"/>
        <color theme="1"/>
        <rFont val="Aptos Narrow"/>
        <family val="2"/>
        <scheme val="minor"/>
      </rPr>
      <t>rd</t>
    </r>
  </si>
  <si>
    <r>
      <t>434</t>
    </r>
    <r>
      <rPr>
        <vertAlign val="superscript"/>
        <sz val="11"/>
        <color theme="1"/>
        <rFont val="Aptos Narrow"/>
        <family val="2"/>
        <scheme val="minor"/>
      </rPr>
      <t>th</t>
    </r>
  </si>
  <si>
    <r>
      <t>435</t>
    </r>
    <r>
      <rPr>
        <vertAlign val="superscript"/>
        <sz val="11"/>
        <color theme="1"/>
        <rFont val="Aptos Narrow"/>
        <family val="2"/>
        <scheme val="minor"/>
      </rPr>
      <t>th</t>
    </r>
  </si>
  <si>
    <r>
      <t>436</t>
    </r>
    <r>
      <rPr>
        <vertAlign val="superscript"/>
        <sz val="11"/>
        <color theme="1"/>
        <rFont val="Aptos Narrow"/>
        <family val="2"/>
        <scheme val="minor"/>
      </rPr>
      <t>th</t>
    </r>
  </si>
  <si>
    <r>
      <t>437</t>
    </r>
    <r>
      <rPr>
        <vertAlign val="superscript"/>
        <sz val="11"/>
        <color theme="1"/>
        <rFont val="Aptos Narrow"/>
        <family val="2"/>
        <scheme val="minor"/>
      </rPr>
      <t>th</t>
    </r>
  </si>
  <si>
    <r>
      <t>438</t>
    </r>
    <r>
      <rPr>
        <vertAlign val="superscript"/>
        <sz val="11"/>
        <color theme="1"/>
        <rFont val="Aptos Narrow"/>
        <family val="2"/>
        <scheme val="minor"/>
      </rPr>
      <t>th</t>
    </r>
  </si>
  <si>
    <r>
      <t>439</t>
    </r>
    <r>
      <rPr>
        <vertAlign val="superscript"/>
        <sz val="11"/>
        <color theme="1"/>
        <rFont val="Aptos Narrow"/>
        <family val="2"/>
        <scheme val="minor"/>
      </rPr>
      <t>th</t>
    </r>
  </si>
  <si>
    <r>
      <t>440</t>
    </r>
    <r>
      <rPr>
        <vertAlign val="superscript"/>
        <sz val="11"/>
        <color theme="1"/>
        <rFont val="Aptos Narrow"/>
        <family val="2"/>
        <scheme val="minor"/>
      </rPr>
      <t>th</t>
    </r>
  </si>
  <si>
    <r>
      <t>441</t>
    </r>
    <r>
      <rPr>
        <vertAlign val="superscript"/>
        <sz val="11"/>
        <color theme="1"/>
        <rFont val="Aptos Narrow"/>
        <family val="2"/>
        <scheme val="minor"/>
      </rPr>
      <t>st</t>
    </r>
  </si>
  <si>
    <r>
      <t>442</t>
    </r>
    <r>
      <rPr>
        <vertAlign val="superscript"/>
        <sz val="11"/>
        <color theme="1"/>
        <rFont val="Aptos Narrow"/>
        <family val="2"/>
        <scheme val="minor"/>
      </rPr>
      <t>nd</t>
    </r>
  </si>
  <si>
    <r>
      <t>443</t>
    </r>
    <r>
      <rPr>
        <vertAlign val="superscript"/>
        <sz val="11"/>
        <color theme="1"/>
        <rFont val="Aptos Narrow"/>
        <family val="2"/>
        <scheme val="minor"/>
      </rPr>
      <t>rd</t>
    </r>
  </si>
  <si>
    <r>
      <t>444</t>
    </r>
    <r>
      <rPr>
        <vertAlign val="superscript"/>
        <sz val="11"/>
        <color theme="1"/>
        <rFont val="Aptos Narrow"/>
        <family val="2"/>
        <scheme val="minor"/>
      </rPr>
      <t>th</t>
    </r>
  </si>
  <si>
    <r>
      <t>445</t>
    </r>
    <r>
      <rPr>
        <vertAlign val="superscript"/>
        <sz val="11"/>
        <color theme="1"/>
        <rFont val="Aptos Narrow"/>
        <family val="2"/>
        <scheme val="minor"/>
      </rPr>
      <t>th</t>
    </r>
  </si>
  <si>
    <r>
      <t>446</t>
    </r>
    <r>
      <rPr>
        <vertAlign val="superscript"/>
        <sz val="11"/>
        <color theme="1"/>
        <rFont val="Aptos Narrow"/>
        <family val="2"/>
        <scheme val="minor"/>
      </rPr>
      <t>th</t>
    </r>
  </si>
  <si>
    <r>
      <t>447</t>
    </r>
    <r>
      <rPr>
        <vertAlign val="superscript"/>
        <sz val="11"/>
        <color theme="1"/>
        <rFont val="Aptos Narrow"/>
        <family val="2"/>
        <scheme val="minor"/>
      </rPr>
      <t>th</t>
    </r>
  </si>
  <si>
    <r>
      <t>448</t>
    </r>
    <r>
      <rPr>
        <vertAlign val="superscript"/>
        <sz val="11"/>
        <color theme="1"/>
        <rFont val="Aptos Narrow"/>
        <family val="2"/>
        <scheme val="minor"/>
      </rPr>
      <t>th</t>
    </r>
  </si>
  <si>
    <r>
      <t>449</t>
    </r>
    <r>
      <rPr>
        <vertAlign val="superscript"/>
        <sz val="11"/>
        <color theme="1"/>
        <rFont val="Aptos Narrow"/>
        <family val="2"/>
        <scheme val="minor"/>
      </rPr>
      <t>th</t>
    </r>
  </si>
  <si>
    <r>
      <t>450</t>
    </r>
    <r>
      <rPr>
        <vertAlign val="superscript"/>
        <sz val="11"/>
        <color theme="1"/>
        <rFont val="Aptos Narrow"/>
        <family val="2"/>
        <scheme val="minor"/>
      </rPr>
      <t>th</t>
    </r>
  </si>
  <si>
    <r>
      <t>451</t>
    </r>
    <r>
      <rPr>
        <vertAlign val="superscript"/>
        <sz val="11"/>
        <color theme="1"/>
        <rFont val="Aptos Narrow"/>
        <family val="2"/>
        <scheme val="minor"/>
      </rPr>
      <t>st</t>
    </r>
  </si>
  <si>
    <r>
      <t>452</t>
    </r>
    <r>
      <rPr>
        <vertAlign val="superscript"/>
        <sz val="11"/>
        <color theme="1"/>
        <rFont val="Aptos Narrow"/>
        <family val="2"/>
        <scheme val="minor"/>
      </rPr>
      <t>nd</t>
    </r>
  </si>
  <si>
    <r>
      <t>453</t>
    </r>
    <r>
      <rPr>
        <vertAlign val="superscript"/>
        <sz val="11"/>
        <color theme="1"/>
        <rFont val="Aptos Narrow"/>
        <family val="2"/>
        <scheme val="minor"/>
      </rPr>
      <t>rd</t>
    </r>
  </si>
  <si>
    <r>
      <t>454</t>
    </r>
    <r>
      <rPr>
        <vertAlign val="superscript"/>
        <sz val="11"/>
        <color theme="1"/>
        <rFont val="Aptos Narrow"/>
        <family val="2"/>
        <scheme val="minor"/>
      </rPr>
      <t>th</t>
    </r>
  </si>
  <si>
    <r>
      <t>455</t>
    </r>
    <r>
      <rPr>
        <vertAlign val="superscript"/>
        <sz val="11"/>
        <color theme="1"/>
        <rFont val="Aptos Narrow"/>
        <family val="2"/>
        <scheme val="minor"/>
      </rPr>
      <t>th</t>
    </r>
  </si>
  <si>
    <r>
      <t>456</t>
    </r>
    <r>
      <rPr>
        <vertAlign val="superscript"/>
        <sz val="11"/>
        <color theme="1"/>
        <rFont val="Aptos Narrow"/>
        <family val="2"/>
        <scheme val="minor"/>
      </rPr>
      <t>th</t>
    </r>
  </si>
  <si>
    <r>
      <t>457</t>
    </r>
    <r>
      <rPr>
        <vertAlign val="superscript"/>
        <sz val="11"/>
        <color theme="1"/>
        <rFont val="Aptos Narrow"/>
        <family val="2"/>
        <scheme val="minor"/>
      </rPr>
      <t>th</t>
    </r>
  </si>
  <si>
    <r>
      <t>458</t>
    </r>
    <r>
      <rPr>
        <vertAlign val="superscript"/>
        <sz val="11"/>
        <color theme="1"/>
        <rFont val="Aptos Narrow"/>
        <family val="2"/>
        <scheme val="minor"/>
      </rPr>
      <t>th</t>
    </r>
  </si>
  <si>
    <r>
      <t>459</t>
    </r>
    <r>
      <rPr>
        <vertAlign val="superscript"/>
        <sz val="11"/>
        <color theme="1"/>
        <rFont val="Aptos Narrow"/>
        <family val="2"/>
        <scheme val="minor"/>
      </rPr>
      <t>th</t>
    </r>
  </si>
  <si>
    <r>
      <t>460</t>
    </r>
    <r>
      <rPr>
        <vertAlign val="superscript"/>
        <sz val="11"/>
        <color theme="1"/>
        <rFont val="Aptos Narrow"/>
        <family val="2"/>
        <scheme val="minor"/>
      </rPr>
      <t>th</t>
    </r>
  </si>
  <si>
    <r>
      <t>461</t>
    </r>
    <r>
      <rPr>
        <vertAlign val="superscript"/>
        <sz val="11"/>
        <color theme="1"/>
        <rFont val="Aptos Narrow"/>
        <family val="2"/>
        <scheme val="minor"/>
      </rPr>
      <t>st</t>
    </r>
  </si>
  <si>
    <r>
      <t>462</t>
    </r>
    <r>
      <rPr>
        <vertAlign val="superscript"/>
        <sz val="11"/>
        <color theme="1"/>
        <rFont val="Aptos Narrow"/>
        <family val="2"/>
        <scheme val="minor"/>
      </rPr>
      <t>nd</t>
    </r>
  </si>
  <si>
    <r>
      <t>463</t>
    </r>
    <r>
      <rPr>
        <vertAlign val="superscript"/>
        <sz val="11"/>
        <color theme="1"/>
        <rFont val="Aptos Narrow"/>
        <family val="2"/>
        <scheme val="minor"/>
      </rPr>
      <t>rd</t>
    </r>
  </si>
  <si>
    <r>
      <t>464</t>
    </r>
    <r>
      <rPr>
        <vertAlign val="superscript"/>
        <sz val="11"/>
        <color theme="1"/>
        <rFont val="Aptos Narrow"/>
        <family val="2"/>
        <scheme val="minor"/>
      </rPr>
      <t>th</t>
    </r>
  </si>
  <si>
    <r>
      <t>465</t>
    </r>
    <r>
      <rPr>
        <vertAlign val="superscript"/>
        <sz val="11"/>
        <color theme="1"/>
        <rFont val="Aptos Narrow"/>
        <family val="2"/>
        <scheme val="minor"/>
      </rPr>
      <t>th</t>
    </r>
  </si>
  <si>
    <r>
      <t>466</t>
    </r>
    <r>
      <rPr>
        <vertAlign val="superscript"/>
        <sz val="11"/>
        <color theme="1"/>
        <rFont val="Aptos Narrow"/>
        <family val="2"/>
        <scheme val="minor"/>
      </rPr>
      <t>th</t>
    </r>
  </si>
  <si>
    <r>
      <t>467</t>
    </r>
    <r>
      <rPr>
        <vertAlign val="superscript"/>
        <sz val="11"/>
        <color theme="1"/>
        <rFont val="Aptos Narrow"/>
        <family val="2"/>
        <scheme val="minor"/>
      </rPr>
      <t>th</t>
    </r>
  </si>
  <si>
    <r>
      <t>468</t>
    </r>
    <r>
      <rPr>
        <vertAlign val="superscript"/>
        <sz val="11"/>
        <color theme="1"/>
        <rFont val="Aptos Narrow"/>
        <family val="2"/>
        <scheme val="minor"/>
      </rPr>
      <t>th</t>
    </r>
  </si>
  <si>
    <r>
      <t>469</t>
    </r>
    <r>
      <rPr>
        <vertAlign val="superscript"/>
        <sz val="11"/>
        <color theme="1"/>
        <rFont val="Aptos Narrow"/>
        <family val="2"/>
        <scheme val="minor"/>
      </rPr>
      <t>th</t>
    </r>
  </si>
  <si>
    <r>
      <t>470</t>
    </r>
    <r>
      <rPr>
        <vertAlign val="superscript"/>
        <sz val="11"/>
        <color theme="1"/>
        <rFont val="Aptos Narrow"/>
        <family val="2"/>
        <scheme val="minor"/>
      </rPr>
      <t>th</t>
    </r>
  </si>
  <si>
    <r>
      <t>471</t>
    </r>
    <r>
      <rPr>
        <vertAlign val="superscript"/>
        <sz val="11"/>
        <color theme="1"/>
        <rFont val="Aptos Narrow"/>
        <family val="2"/>
        <scheme val="minor"/>
      </rPr>
      <t>st</t>
    </r>
  </si>
  <si>
    <r>
      <t>472</t>
    </r>
    <r>
      <rPr>
        <vertAlign val="superscript"/>
        <sz val="11"/>
        <color theme="1"/>
        <rFont val="Aptos Narrow"/>
        <family val="2"/>
        <scheme val="minor"/>
      </rPr>
      <t>nd</t>
    </r>
  </si>
  <si>
    <r>
      <t>473</t>
    </r>
    <r>
      <rPr>
        <vertAlign val="superscript"/>
        <sz val="11"/>
        <color theme="1"/>
        <rFont val="Aptos Narrow"/>
        <family val="2"/>
        <scheme val="minor"/>
      </rPr>
      <t>rd</t>
    </r>
  </si>
  <si>
    <r>
      <t>474</t>
    </r>
    <r>
      <rPr>
        <vertAlign val="superscript"/>
        <sz val="11"/>
        <color theme="1"/>
        <rFont val="Aptos Narrow"/>
        <family val="2"/>
        <scheme val="minor"/>
      </rPr>
      <t>th</t>
    </r>
  </si>
  <si>
    <r>
      <t>475</t>
    </r>
    <r>
      <rPr>
        <vertAlign val="superscript"/>
        <sz val="11"/>
        <color theme="1"/>
        <rFont val="Aptos Narrow"/>
        <family val="2"/>
        <scheme val="minor"/>
      </rPr>
      <t>th</t>
    </r>
  </si>
  <si>
    <r>
      <t>476</t>
    </r>
    <r>
      <rPr>
        <vertAlign val="superscript"/>
        <sz val="11"/>
        <color theme="1"/>
        <rFont val="Aptos Narrow"/>
        <family val="2"/>
        <scheme val="minor"/>
      </rPr>
      <t>th</t>
    </r>
  </si>
  <si>
    <r>
      <t>477</t>
    </r>
    <r>
      <rPr>
        <vertAlign val="superscript"/>
        <sz val="11"/>
        <color theme="1"/>
        <rFont val="Aptos Narrow"/>
        <family val="2"/>
        <scheme val="minor"/>
      </rPr>
      <t>th</t>
    </r>
  </si>
  <si>
    <r>
      <t>478</t>
    </r>
    <r>
      <rPr>
        <vertAlign val="superscript"/>
        <sz val="11"/>
        <color theme="1"/>
        <rFont val="Aptos Narrow"/>
        <family val="2"/>
        <scheme val="minor"/>
      </rPr>
      <t>th</t>
    </r>
  </si>
  <si>
    <r>
      <t>479</t>
    </r>
    <r>
      <rPr>
        <vertAlign val="superscript"/>
        <sz val="11"/>
        <color theme="1"/>
        <rFont val="Aptos Narrow"/>
        <family val="2"/>
        <scheme val="minor"/>
      </rPr>
      <t>th</t>
    </r>
  </si>
  <si>
    <r>
      <t>480</t>
    </r>
    <r>
      <rPr>
        <vertAlign val="superscript"/>
        <sz val="11"/>
        <color theme="1"/>
        <rFont val="Aptos Narrow"/>
        <family val="2"/>
        <scheme val="minor"/>
      </rPr>
      <t>th</t>
    </r>
  </si>
  <si>
    <r>
      <t>481</t>
    </r>
    <r>
      <rPr>
        <vertAlign val="superscript"/>
        <sz val="11"/>
        <color theme="1"/>
        <rFont val="Aptos Narrow"/>
        <family val="2"/>
        <scheme val="minor"/>
      </rPr>
      <t>st</t>
    </r>
  </si>
  <si>
    <r>
      <t>482</t>
    </r>
    <r>
      <rPr>
        <vertAlign val="superscript"/>
        <sz val="11"/>
        <color theme="1"/>
        <rFont val="Aptos Narrow"/>
        <family val="2"/>
        <scheme val="minor"/>
      </rPr>
      <t>nd</t>
    </r>
  </si>
  <si>
    <r>
      <t>483</t>
    </r>
    <r>
      <rPr>
        <vertAlign val="superscript"/>
        <sz val="11"/>
        <color theme="1"/>
        <rFont val="Aptos Narrow"/>
        <family val="2"/>
        <scheme val="minor"/>
      </rPr>
      <t>rd</t>
    </r>
  </si>
  <si>
    <r>
      <t>484</t>
    </r>
    <r>
      <rPr>
        <vertAlign val="superscript"/>
        <sz val="11"/>
        <color theme="1"/>
        <rFont val="Aptos Narrow"/>
        <family val="2"/>
        <scheme val="minor"/>
      </rPr>
      <t>th</t>
    </r>
  </si>
  <si>
    <r>
      <t>485</t>
    </r>
    <r>
      <rPr>
        <vertAlign val="superscript"/>
        <sz val="11"/>
        <color theme="1"/>
        <rFont val="Aptos Narrow"/>
        <family val="2"/>
        <scheme val="minor"/>
      </rPr>
      <t>th</t>
    </r>
  </si>
  <si>
    <r>
      <t>486</t>
    </r>
    <r>
      <rPr>
        <vertAlign val="superscript"/>
        <sz val="11"/>
        <color theme="1"/>
        <rFont val="Aptos Narrow"/>
        <family val="2"/>
        <scheme val="minor"/>
      </rPr>
      <t>th</t>
    </r>
  </si>
  <si>
    <r>
      <t>487</t>
    </r>
    <r>
      <rPr>
        <vertAlign val="superscript"/>
        <sz val="11"/>
        <color theme="1"/>
        <rFont val="Aptos Narrow"/>
        <family val="2"/>
        <scheme val="minor"/>
      </rPr>
      <t>th</t>
    </r>
  </si>
  <si>
    <r>
      <t>488</t>
    </r>
    <r>
      <rPr>
        <vertAlign val="superscript"/>
        <sz val="11"/>
        <color theme="1"/>
        <rFont val="Aptos Narrow"/>
        <family val="2"/>
        <scheme val="minor"/>
      </rPr>
      <t>th</t>
    </r>
  </si>
  <si>
    <r>
      <t>489</t>
    </r>
    <r>
      <rPr>
        <vertAlign val="superscript"/>
        <sz val="11"/>
        <color theme="1"/>
        <rFont val="Aptos Narrow"/>
        <family val="2"/>
        <scheme val="minor"/>
      </rPr>
      <t>th</t>
    </r>
  </si>
  <si>
    <r>
      <t>490</t>
    </r>
    <r>
      <rPr>
        <vertAlign val="superscript"/>
        <sz val="11"/>
        <color theme="1"/>
        <rFont val="Aptos Narrow"/>
        <family val="2"/>
        <scheme val="minor"/>
      </rPr>
      <t>th</t>
    </r>
  </si>
  <si>
    <r>
      <t>491</t>
    </r>
    <r>
      <rPr>
        <vertAlign val="superscript"/>
        <sz val="11"/>
        <color theme="1"/>
        <rFont val="Aptos Narrow"/>
        <family val="2"/>
        <scheme val="minor"/>
      </rPr>
      <t>st</t>
    </r>
  </si>
  <si>
    <r>
      <t>492</t>
    </r>
    <r>
      <rPr>
        <vertAlign val="superscript"/>
        <sz val="11"/>
        <color theme="1"/>
        <rFont val="Aptos Narrow"/>
        <family val="2"/>
        <scheme val="minor"/>
      </rPr>
      <t>nd</t>
    </r>
  </si>
  <si>
    <r>
      <t>493</t>
    </r>
    <r>
      <rPr>
        <vertAlign val="superscript"/>
        <sz val="11"/>
        <color theme="1"/>
        <rFont val="Aptos Narrow"/>
        <family val="2"/>
        <scheme val="minor"/>
      </rPr>
      <t>rd</t>
    </r>
  </si>
  <si>
    <r>
      <t>494</t>
    </r>
    <r>
      <rPr>
        <vertAlign val="superscript"/>
        <sz val="11"/>
        <color theme="1"/>
        <rFont val="Aptos Narrow"/>
        <family val="2"/>
        <scheme val="minor"/>
      </rPr>
      <t>th</t>
    </r>
  </si>
  <si>
    <r>
      <t>495</t>
    </r>
    <r>
      <rPr>
        <vertAlign val="superscript"/>
        <sz val="11"/>
        <color theme="1"/>
        <rFont val="Aptos Narrow"/>
        <family val="2"/>
        <scheme val="minor"/>
      </rPr>
      <t>th</t>
    </r>
  </si>
  <si>
    <r>
      <t>496</t>
    </r>
    <r>
      <rPr>
        <vertAlign val="superscript"/>
        <sz val="11"/>
        <color theme="1"/>
        <rFont val="Aptos Narrow"/>
        <family val="2"/>
        <scheme val="minor"/>
      </rPr>
      <t>th</t>
    </r>
  </si>
  <si>
    <r>
      <t>497</t>
    </r>
    <r>
      <rPr>
        <vertAlign val="superscript"/>
        <sz val="11"/>
        <color theme="1"/>
        <rFont val="Aptos Narrow"/>
        <family val="2"/>
        <scheme val="minor"/>
      </rPr>
      <t>th</t>
    </r>
  </si>
  <si>
    <r>
      <t>498</t>
    </r>
    <r>
      <rPr>
        <vertAlign val="superscript"/>
        <sz val="11"/>
        <color theme="1"/>
        <rFont val="Aptos Narrow"/>
        <family val="2"/>
        <scheme val="minor"/>
      </rPr>
      <t>th</t>
    </r>
  </si>
  <si>
    <r>
      <t>499</t>
    </r>
    <r>
      <rPr>
        <vertAlign val="superscript"/>
        <sz val="11"/>
        <color theme="1"/>
        <rFont val="Aptos Narrow"/>
        <family val="2"/>
        <scheme val="minor"/>
      </rPr>
      <t>th</t>
    </r>
  </si>
  <si>
    <r>
      <t>500</t>
    </r>
    <r>
      <rPr>
        <vertAlign val="superscript"/>
        <sz val="11"/>
        <color theme="1"/>
        <rFont val="Aptos Narrow"/>
        <family val="2"/>
        <scheme val="minor"/>
      </rPr>
      <t>th</t>
    </r>
  </si>
  <si>
    <r>
      <t>501</t>
    </r>
    <r>
      <rPr>
        <vertAlign val="superscript"/>
        <sz val="11"/>
        <color theme="1"/>
        <rFont val="Aptos Narrow"/>
        <family val="2"/>
        <scheme val="minor"/>
      </rPr>
      <t>st</t>
    </r>
  </si>
  <si>
    <r>
      <t>502</t>
    </r>
    <r>
      <rPr>
        <vertAlign val="superscript"/>
        <sz val="11"/>
        <color theme="1"/>
        <rFont val="Aptos Narrow"/>
        <family val="2"/>
        <scheme val="minor"/>
      </rPr>
      <t>nd</t>
    </r>
  </si>
  <si>
    <r>
      <t>503</t>
    </r>
    <r>
      <rPr>
        <vertAlign val="superscript"/>
        <sz val="11"/>
        <color theme="1"/>
        <rFont val="Aptos Narrow"/>
        <family val="2"/>
        <scheme val="minor"/>
      </rPr>
      <t>rd</t>
    </r>
  </si>
  <si>
    <r>
      <t>504</t>
    </r>
    <r>
      <rPr>
        <vertAlign val="superscript"/>
        <sz val="11"/>
        <color theme="1"/>
        <rFont val="Aptos Narrow"/>
        <family val="2"/>
        <scheme val="minor"/>
      </rPr>
      <t>th</t>
    </r>
  </si>
  <si>
    <r>
      <t>505</t>
    </r>
    <r>
      <rPr>
        <vertAlign val="superscript"/>
        <sz val="11"/>
        <color theme="1"/>
        <rFont val="Aptos Narrow"/>
        <family val="2"/>
        <scheme val="minor"/>
      </rPr>
      <t>th</t>
    </r>
  </si>
  <si>
    <r>
      <t>506</t>
    </r>
    <r>
      <rPr>
        <vertAlign val="superscript"/>
        <sz val="11"/>
        <color theme="1"/>
        <rFont val="Aptos Narrow"/>
        <family val="2"/>
        <scheme val="minor"/>
      </rPr>
      <t>th</t>
    </r>
  </si>
  <si>
    <r>
      <t>507</t>
    </r>
    <r>
      <rPr>
        <vertAlign val="superscript"/>
        <sz val="11"/>
        <color theme="1"/>
        <rFont val="Aptos Narrow"/>
        <family val="2"/>
        <scheme val="minor"/>
      </rPr>
      <t>th</t>
    </r>
  </si>
  <si>
    <r>
      <t>508</t>
    </r>
    <r>
      <rPr>
        <vertAlign val="superscript"/>
        <sz val="11"/>
        <color theme="1"/>
        <rFont val="Aptos Narrow"/>
        <family val="2"/>
        <scheme val="minor"/>
      </rPr>
      <t>th</t>
    </r>
  </si>
  <si>
    <r>
      <t>509</t>
    </r>
    <r>
      <rPr>
        <vertAlign val="superscript"/>
        <sz val="11"/>
        <color theme="1"/>
        <rFont val="Aptos Narrow"/>
        <family val="2"/>
        <scheme val="minor"/>
      </rPr>
      <t>th</t>
    </r>
  </si>
  <si>
    <r>
      <t>510</t>
    </r>
    <r>
      <rPr>
        <vertAlign val="superscript"/>
        <sz val="11"/>
        <color theme="1"/>
        <rFont val="Aptos Narrow"/>
        <family val="2"/>
        <scheme val="minor"/>
      </rPr>
      <t>th</t>
    </r>
  </si>
  <si>
    <r>
      <t>511</t>
    </r>
    <r>
      <rPr>
        <vertAlign val="superscript"/>
        <sz val="11"/>
        <color theme="1"/>
        <rFont val="Aptos Narrow"/>
        <family val="2"/>
        <scheme val="minor"/>
      </rPr>
      <t>th</t>
    </r>
  </si>
  <si>
    <r>
      <t>512</t>
    </r>
    <r>
      <rPr>
        <vertAlign val="superscript"/>
        <sz val="11"/>
        <color theme="1"/>
        <rFont val="Aptos Narrow"/>
        <family val="2"/>
        <scheme val="minor"/>
      </rPr>
      <t>th</t>
    </r>
  </si>
  <si>
    <r>
      <t>513</t>
    </r>
    <r>
      <rPr>
        <vertAlign val="superscript"/>
        <sz val="11"/>
        <color theme="1"/>
        <rFont val="Aptos Narrow"/>
        <family val="2"/>
        <scheme val="minor"/>
      </rPr>
      <t>th</t>
    </r>
  </si>
  <si>
    <r>
      <t>514</t>
    </r>
    <r>
      <rPr>
        <vertAlign val="superscript"/>
        <sz val="11"/>
        <color theme="1"/>
        <rFont val="Aptos Narrow"/>
        <family val="2"/>
        <scheme val="minor"/>
      </rPr>
      <t>th</t>
    </r>
  </si>
  <si>
    <r>
      <t>515</t>
    </r>
    <r>
      <rPr>
        <vertAlign val="superscript"/>
        <sz val="11"/>
        <color theme="1"/>
        <rFont val="Aptos Narrow"/>
        <family val="2"/>
        <scheme val="minor"/>
      </rPr>
      <t>th</t>
    </r>
  </si>
  <si>
    <r>
      <t>516</t>
    </r>
    <r>
      <rPr>
        <vertAlign val="superscript"/>
        <sz val="11"/>
        <color theme="1"/>
        <rFont val="Aptos Narrow"/>
        <family val="2"/>
        <scheme val="minor"/>
      </rPr>
      <t>th</t>
    </r>
  </si>
  <si>
    <r>
      <t>517</t>
    </r>
    <r>
      <rPr>
        <vertAlign val="superscript"/>
        <sz val="11"/>
        <color theme="1"/>
        <rFont val="Aptos Narrow"/>
        <family val="2"/>
        <scheme val="minor"/>
      </rPr>
      <t>th</t>
    </r>
  </si>
  <si>
    <r>
      <t>518</t>
    </r>
    <r>
      <rPr>
        <vertAlign val="superscript"/>
        <sz val="11"/>
        <color theme="1"/>
        <rFont val="Aptos Narrow"/>
        <family val="2"/>
        <scheme val="minor"/>
      </rPr>
      <t>th</t>
    </r>
  </si>
  <si>
    <r>
      <t>519</t>
    </r>
    <r>
      <rPr>
        <vertAlign val="superscript"/>
        <sz val="11"/>
        <color theme="1"/>
        <rFont val="Aptos Narrow"/>
        <family val="2"/>
        <scheme val="minor"/>
      </rPr>
      <t>th</t>
    </r>
  </si>
  <si>
    <r>
      <t>520</t>
    </r>
    <r>
      <rPr>
        <vertAlign val="superscript"/>
        <sz val="11"/>
        <color theme="1"/>
        <rFont val="Aptos Narrow"/>
        <family val="2"/>
        <scheme val="minor"/>
      </rPr>
      <t>th</t>
    </r>
  </si>
  <si>
    <r>
      <t>521</t>
    </r>
    <r>
      <rPr>
        <vertAlign val="superscript"/>
        <sz val="11"/>
        <color theme="1"/>
        <rFont val="Aptos Narrow"/>
        <family val="2"/>
        <scheme val="minor"/>
      </rPr>
      <t>st</t>
    </r>
  </si>
  <si>
    <r>
      <t>522</t>
    </r>
    <r>
      <rPr>
        <vertAlign val="superscript"/>
        <sz val="11"/>
        <color theme="1"/>
        <rFont val="Aptos Narrow"/>
        <family val="2"/>
        <scheme val="minor"/>
      </rPr>
      <t>nd</t>
    </r>
  </si>
  <si>
    <r>
      <t>523</t>
    </r>
    <r>
      <rPr>
        <vertAlign val="superscript"/>
        <sz val="11"/>
        <color theme="1"/>
        <rFont val="Aptos Narrow"/>
        <family val="2"/>
        <scheme val="minor"/>
      </rPr>
      <t>rd</t>
    </r>
  </si>
  <si>
    <r>
      <t>524</t>
    </r>
    <r>
      <rPr>
        <vertAlign val="superscript"/>
        <sz val="11"/>
        <color theme="1"/>
        <rFont val="Aptos Narrow"/>
        <family val="2"/>
        <scheme val="minor"/>
      </rPr>
      <t>th</t>
    </r>
  </si>
  <si>
    <r>
      <t>525</t>
    </r>
    <r>
      <rPr>
        <vertAlign val="superscript"/>
        <sz val="11"/>
        <color theme="1"/>
        <rFont val="Aptos Narrow"/>
        <family val="2"/>
        <scheme val="minor"/>
      </rPr>
      <t>th</t>
    </r>
  </si>
  <si>
    <r>
      <t>526</t>
    </r>
    <r>
      <rPr>
        <vertAlign val="superscript"/>
        <sz val="11"/>
        <color theme="1"/>
        <rFont val="Aptos Narrow"/>
        <family val="2"/>
        <scheme val="minor"/>
      </rPr>
      <t>th</t>
    </r>
  </si>
  <si>
    <r>
      <t>527</t>
    </r>
    <r>
      <rPr>
        <vertAlign val="superscript"/>
        <sz val="11"/>
        <color theme="1"/>
        <rFont val="Aptos Narrow"/>
        <family val="2"/>
        <scheme val="minor"/>
      </rPr>
      <t>th</t>
    </r>
  </si>
  <si>
    <r>
      <t>528</t>
    </r>
    <r>
      <rPr>
        <vertAlign val="superscript"/>
        <sz val="11"/>
        <color theme="1"/>
        <rFont val="Aptos Narrow"/>
        <family val="2"/>
        <scheme val="minor"/>
      </rPr>
      <t>th</t>
    </r>
  </si>
  <si>
    <r>
      <t>529</t>
    </r>
    <r>
      <rPr>
        <vertAlign val="superscript"/>
        <sz val="11"/>
        <color theme="1"/>
        <rFont val="Aptos Narrow"/>
        <family val="2"/>
        <scheme val="minor"/>
      </rPr>
      <t>th</t>
    </r>
  </si>
  <si>
    <r>
      <t>530</t>
    </r>
    <r>
      <rPr>
        <vertAlign val="superscript"/>
        <sz val="11"/>
        <color theme="1"/>
        <rFont val="Aptos Narrow"/>
        <family val="2"/>
        <scheme val="minor"/>
      </rPr>
      <t>th</t>
    </r>
  </si>
  <si>
    <r>
      <t>531</t>
    </r>
    <r>
      <rPr>
        <vertAlign val="superscript"/>
        <sz val="11"/>
        <color theme="1"/>
        <rFont val="Aptos Narrow"/>
        <family val="2"/>
        <scheme val="minor"/>
      </rPr>
      <t>st</t>
    </r>
  </si>
  <si>
    <r>
      <t>532</t>
    </r>
    <r>
      <rPr>
        <vertAlign val="superscript"/>
        <sz val="11"/>
        <color theme="1"/>
        <rFont val="Aptos Narrow"/>
        <family val="2"/>
        <scheme val="minor"/>
      </rPr>
      <t>nd</t>
    </r>
  </si>
  <si>
    <r>
      <t>533</t>
    </r>
    <r>
      <rPr>
        <vertAlign val="superscript"/>
        <sz val="11"/>
        <color theme="1"/>
        <rFont val="Aptos Narrow"/>
        <family val="2"/>
        <scheme val="minor"/>
      </rPr>
      <t>rd</t>
    </r>
  </si>
  <si>
    <r>
      <t>534</t>
    </r>
    <r>
      <rPr>
        <vertAlign val="superscript"/>
        <sz val="11"/>
        <color theme="1"/>
        <rFont val="Aptos Narrow"/>
        <family val="2"/>
        <scheme val="minor"/>
      </rPr>
      <t>th</t>
    </r>
  </si>
  <si>
    <r>
      <t>535</t>
    </r>
    <r>
      <rPr>
        <vertAlign val="superscript"/>
        <sz val="11"/>
        <color theme="1"/>
        <rFont val="Aptos Narrow"/>
        <family val="2"/>
        <scheme val="minor"/>
      </rPr>
      <t>th</t>
    </r>
  </si>
  <si>
    <r>
      <t>536</t>
    </r>
    <r>
      <rPr>
        <vertAlign val="superscript"/>
        <sz val="11"/>
        <color theme="1"/>
        <rFont val="Aptos Narrow"/>
        <family val="2"/>
        <scheme val="minor"/>
      </rPr>
      <t>th</t>
    </r>
  </si>
  <si>
    <r>
      <t>537</t>
    </r>
    <r>
      <rPr>
        <vertAlign val="superscript"/>
        <sz val="11"/>
        <color theme="1"/>
        <rFont val="Aptos Narrow"/>
        <family val="2"/>
        <scheme val="minor"/>
      </rPr>
      <t>th</t>
    </r>
  </si>
  <si>
    <r>
      <t>538</t>
    </r>
    <r>
      <rPr>
        <vertAlign val="superscript"/>
        <sz val="11"/>
        <color theme="1"/>
        <rFont val="Aptos Narrow"/>
        <family val="2"/>
        <scheme val="minor"/>
      </rPr>
      <t>th</t>
    </r>
  </si>
  <si>
    <r>
      <t>539</t>
    </r>
    <r>
      <rPr>
        <vertAlign val="superscript"/>
        <sz val="11"/>
        <color theme="1"/>
        <rFont val="Aptos Narrow"/>
        <family val="2"/>
        <scheme val="minor"/>
      </rPr>
      <t>th</t>
    </r>
  </si>
  <si>
    <r>
      <t>540</t>
    </r>
    <r>
      <rPr>
        <vertAlign val="superscript"/>
        <sz val="11"/>
        <color theme="1"/>
        <rFont val="Aptos Narrow"/>
        <family val="2"/>
        <scheme val="minor"/>
      </rPr>
      <t>th</t>
    </r>
  </si>
  <si>
    <r>
      <t>541</t>
    </r>
    <r>
      <rPr>
        <vertAlign val="superscript"/>
        <sz val="11"/>
        <color theme="1"/>
        <rFont val="Aptos Narrow"/>
        <family val="2"/>
        <scheme val="minor"/>
      </rPr>
      <t>st</t>
    </r>
  </si>
  <si>
    <r>
      <t>542</t>
    </r>
    <r>
      <rPr>
        <vertAlign val="superscript"/>
        <sz val="11"/>
        <color theme="1"/>
        <rFont val="Aptos Narrow"/>
        <family val="2"/>
        <scheme val="minor"/>
      </rPr>
      <t>nd</t>
    </r>
  </si>
  <si>
    <r>
      <t>543</t>
    </r>
    <r>
      <rPr>
        <vertAlign val="superscript"/>
        <sz val="11"/>
        <color theme="1"/>
        <rFont val="Aptos Narrow"/>
        <family val="2"/>
        <scheme val="minor"/>
      </rPr>
      <t>rd</t>
    </r>
  </si>
  <si>
    <r>
      <t>544</t>
    </r>
    <r>
      <rPr>
        <vertAlign val="superscript"/>
        <sz val="11"/>
        <color theme="1"/>
        <rFont val="Aptos Narrow"/>
        <family val="2"/>
        <scheme val="minor"/>
      </rPr>
      <t>th</t>
    </r>
  </si>
  <si>
    <r>
      <t>545</t>
    </r>
    <r>
      <rPr>
        <vertAlign val="superscript"/>
        <sz val="11"/>
        <color theme="1"/>
        <rFont val="Aptos Narrow"/>
        <family val="2"/>
        <scheme val="minor"/>
      </rPr>
      <t>th</t>
    </r>
  </si>
  <si>
    <r>
      <t>546</t>
    </r>
    <r>
      <rPr>
        <vertAlign val="superscript"/>
        <sz val="11"/>
        <color theme="1"/>
        <rFont val="Aptos Narrow"/>
        <family val="2"/>
        <scheme val="minor"/>
      </rPr>
      <t>th</t>
    </r>
  </si>
  <si>
    <r>
      <t>547</t>
    </r>
    <r>
      <rPr>
        <vertAlign val="superscript"/>
        <sz val="11"/>
        <color theme="1"/>
        <rFont val="Aptos Narrow"/>
        <family val="2"/>
        <scheme val="minor"/>
      </rPr>
      <t>th</t>
    </r>
  </si>
  <si>
    <r>
      <t>548</t>
    </r>
    <r>
      <rPr>
        <vertAlign val="superscript"/>
        <sz val="11"/>
        <color theme="1"/>
        <rFont val="Aptos Narrow"/>
        <family val="2"/>
        <scheme val="minor"/>
      </rPr>
      <t>th</t>
    </r>
  </si>
  <si>
    <r>
      <t>549</t>
    </r>
    <r>
      <rPr>
        <vertAlign val="superscript"/>
        <sz val="11"/>
        <color theme="1"/>
        <rFont val="Aptos Narrow"/>
        <family val="2"/>
        <scheme val="minor"/>
      </rPr>
      <t>th</t>
    </r>
  </si>
  <si>
    <r>
      <t>550</t>
    </r>
    <r>
      <rPr>
        <vertAlign val="superscript"/>
        <sz val="11"/>
        <color theme="1"/>
        <rFont val="Aptos Narrow"/>
        <family val="2"/>
        <scheme val="minor"/>
      </rPr>
      <t>th</t>
    </r>
  </si>
  <si>
    <r>
      <t>551</t>
    </r>
    <r>
      <rPr>
        <vertAlign val="superscript"/>
        <sz val="11"/>
        <color theme="1"/>
        <rFont val="Aptos Narrow"/>
        <family val="2"/>
        <scheme val="minor"/>
      </rPr>
      <t>st</t>
    </r>
  </si>
  <si>
    <r>
      <t>552</t>
    </r>
    <r>
      <rPr>
        <vertAlign val="superscript"/>
        <sz val="11"/>
        <color theme="1"/>
        <rFont val="Aptos Narrow"/>
        <family val="2"/>
        <scheme val="minor"/>
      </rPr>
      <t>nd</t>
    </r>
  </si>
  <si>
    <r>
      <t>553</t>
    </r>
    <r>
      <rPr>
        <vertAlign val="superscript"/>
        <sz val="11"/>
        <color theme="1"/>
        <rFont val="Aptos Narrow"/>
        <family val="2"/>
        <scheme val="minor"/>
      </rPr>
      <t>rd</t>
    </r>
  </si>
  <si>
    <r>
      <t>554</t>
    </r>
    <r>
      <rPr>
        <vertAlign val="superscript"/>
        <sz val="11"/>
        <color theme="1"/>
        <rFont val="Aptos Narrow"/>
        <family val="2"/>
        <scheme val="minor"/>
      </rPr>
      <t>th</t>
    </r>
  </si>
  <si>
    <r>
      <t>555</t>
    </r>
    <r>
      <rPr>
        <vertAlign val="superscript"/>
        <sz val="11"/>
        <color theme="1"/>
        <rFont val="Aptos Narrow"/>
        <family val="2"/>
        <scheme val="minor"/>
      </rPr>
      <t>th</t>
    </r>
  </si>
  <si>
    <r>
      <t>556</t>
    </r>
    <r>
      <rPr>
        <vertAlign val="superscript"/>
        <sz val="11"/>
        <color theme="1"/>
        <rFont val="Aptos Narrow"/>
        <family val="2"/>
        <scheme val="minor"/>
      </rPr>
      <t>th</t>
    </r>
  </si>
  <si>
    <t>2019</t>
  </si>
  <si>
    <t>Average</t>
  </si>
  <si>
    <r>
      <t>557</t>
    </r>
    <r>
      <rPr>
        <vertAlign val="superscript"/>
        <sz val="11"/>
        <color theme="1"/>
        <rFont val="Aptos Narrow"/>
        <family val="2"/>
        <scheme val="minor"/>
      </rPr>
      <t>th</t>
    </r>
  </si>
  <si>
    <r>
      <t>558</t>
    </r>
    <r>
      <rPr>
        <vertAlign val="superscript"/>
        <sz val="11"/>
        <color theme="1"/>
        <rFont val="Aptos Narrow"/>
        <family val="2"/>
        <scheme val="minor"/>
      </rPr>
      <t>th</t>
    </r>
  </si>
  <si>
    <r>
      <t>559</t>
    </r>
    <r>
      <rPr>
        <vertAlign val="superscript"/>
        <sz val="11"/>
        <color theme="1"/>
        <rFont val="Aptos Narrow"/>
        <family val="2"/>
        <scheme val="minor"/>
      </rPr>
      <t>th</t>
    </r>
  </si>
  <si>
    <r>
      <t>560</t>
    </r>
    <r>
      <rPr>
        <vertAlign val="superscript"/>
        <sz val="11"/>
        <color theme="1"/>
        <rFont val="Aptos Narrow"/>
        <family val="2"/>
        <scheme val="minor"/>
      </rPr>
      <t>th</t>
    </r>
  </si>
  <si>
    <r>
      <t>561</t>
    </r>
    <r>
      <rPr>
        <vertAlign val="superscript"/>
        <sz val="11"/>
        <color theme="1"/>
        <rFont val="Aptos Narrow"/>
        <family val="2"/>
        <scheme val="minor"/>
      </rPr>
      <t>st</t>
    </r>
  </si>
  <si>
    <r>
      <t>562</t>
    </r>
    <r>
      <rPr>
        <vertAlign val="superscript"/>
        <sz val="11"/>
        <color theme="1"/>
        <rFont val="Aptos Narrow"/>
        <family val="2"/>
        <scheme val="minor"/>
      </rPr>
      <t>nd</t>
    </r>
  </si>
  <si>
    <r>
      <t>563</t>
    </r>
    <r>
      <rPr>
        <vertAlign val="superscript"/>
        <sz val="11"/>
        <color theme="1"/>
        <rFont val="Aptos Narrow"/>
        <family val="2"/>
        <scheme val="minor"/>
      </rPr>
      <t>rd</t>
    </r>
  </si>
  <si>
    <r>
      <t>564</t>
    </r>
    <r>
      <rPr>
        <vertAlign val="superscript"/>
        <sz val="11"/>
        <color theme="1"/>
        <rFont val="Aptos Narrow"/>
        <family val="2"/>
        <scheme val="minor"/>
      </rPr>
      <t>th</t>
    </r>
  </si>
  <si>
    <r>
      <t>565</t>
    </r>
    <r>
      <rPr>
        <vertAlign val="superscript"/>
        <sz val="11"/>
        <color theme="1"/>
        <rFont val="Aptos Narrow"/>
        <family val="2"/>
        <scheme val="minor"/>
      </rPr>
      <t>th</t>
    </r>
  </si>
  <si>
    <r>
      <t>566</t>
    </r>
    <r>
      <rPr>
        <vertAlign val="superscript"/>
        <sz val="11"/>
        <color theme="1"/>
        <rFont val="Aptos Narrow"/>
        <family val="2"/>
        <scheme val="minor"/>
      </rPr>
      <t>th</t>
    </r>
  </si>
  <si>
    <r>
      <t>567</t>
    </r>
    <r>
      <rPr>
        <vertAlign val="superscript"/>
        <sz val="11"/>
        <color theme="1"/>
        <rFont val="Aptos Narrow"/>
        <family val="2"/>
        <scheme val="minor"/>
      </rPr>
      <t>th</t>
    </r>
  </si>
  <si>
    <r>
      <t>568</t>
    </r>
    <r>
      <rPr>
        <vertAlign val="superscript"/>
        <sz val="11"/>
        <color theme="1"/>
        <rFont val="Aptos Narrow"/>
        <family val="2"/>
        <scheme val="minor"/>
      </rPr>
      <t>th</t>
    </r>
  </si>
  <si>
    <r>
      <t>569</t>
    </r>
    <r>
      <rPr>
        <vertAlign val="superscript"/>
        <sz val="11"/>
        <color theme="1"/>
        <rFont val="Aptos Narrow"/>
        <family val="2"/>
        <scheme val="minor"/>
      </rPr>
      <t>th</t>
    </r>
  </si>
  <si>
    <r>
      <t>570</t>
    </r>
    <r>
      <rPr>
        <vertAlign val="superscript"/>
        <sz val="11"/>
        <color theme="1"/>
        <rFont val="Aptos Narrow"/>
        <family val="2"/>
        <scheme val="minor"/>
      </rPr>
      <t>th</t>
    </r>
  </si>
  <si>
    <r>
      <t>571</t>
    </r>
    <r>
      <rPr>
        <vertAlign val="superscript"/>
        <sz val="11"/>
        <color theme="1"/>
        <rFont val="Aptos Narrow"/>
        <family val="2"/>
        <scheme val="minor"/>
      </rPr>
      <t>st</t>
    </r>
  </si>
  <si>
    <r>
      <t>572</t>
    </r>
    <r>
      <rPr>
        <vertAlign val="superscript"/>
        <sz val="11"/>
        <color theme="1"/>
        <rFont val="Aptos Narrow"/>
        <family val="2"/>
        <scheme val="minor"/>
      </rPr>
      <t>nd</t>
    </r>
  </si>
  <si>
    <r>
      <t>573</t>
    </r>
    <r>
      <rPr>
        <vertAlign val="superscript"/>
        <sz val="11"/>
        <color theme="1"/>
        <rFont val="Aptos Narrow"/>
        <family val="2"/>
        <scheme val="minor"/>
      </rPr>
      <t>rd</t>
    </r>
  </si>
  <si>
    <r>
      <t>574</t>
    </r>
    <r>
      <rPr>
        <vertAlign val="superscript"/>
        <sz val="11"/>
        <color theme="1"/>
        <rFont val="Aptos Narrow"/>
        <family val="2"/>
        <scheme val="minor"/>
      </rPr>
      <t>th</t>
    </r>
  </si>
  <si>
    <r>
      <t>575</t>
    </r>
    <r>
      <rPr>
        <vertAlign val="superscript"/>
        <sz val="11"/>
        <color theme="1"/>
        <rFont val="Aptos Narrow"/>
        <family val="2"/>
        <scheme val="minor"/>
      </rPr>
      <t>th</t>
    </r>
  </si>
  <si>
    <r>
      <t>576</t>
    </r>
    <r>
      <rPr>
        <vertAlign val="superscript"/>
        <sz val="11"/>
        <color theme="1"/>
        <rFont val="Aptos Narrow"/>
        <family val="2"/>
        <scheme val="minor"/>
      </rPr>
      <t>th</t>
    </r>
  </si>
  <si>
    <r>
      <t>577</t>
    </r>
    <r>
      <rPr>
        <vertAlign val="superscript"/>
        <sz val="11"/>
        <color theme="1"/>
        <rFont val="Aptos Narrow"/>
        <family val="2"/>
        <scheme val="minor"/>
      </rPr>
      <t>th</t>
    </r>
  </si>
  <si>
    <r>
      <t>578</t>
    </r>
    <r>
      <rPr>
        <vertAlign val="superscript"/>
        <sz val="11"/>
        <color theme="1"/>
        <rFont val="Aptos Narrow"/>
        <family val="2"/>
        <scheme val="minor"/>
      </rPr>
      <t>th</t>
    </r>
  </si>
  <si>
    <r>
      <t>579</t>
    </r>
    <r>
      <rPr>
        <vertAlign val="superscript"/>
        <sz val="11"/>
        <color theme="1"/>
        <rFont val="Aptos Narrow"/>
        <family val="2"/>
        <scheme val="minor"/>
      </rPr>
      <t>th</t>
    </r>
  </si>
  <si>
    <r>
      <t>580</t>
    </r>
    <r>
      <rPr>
        <vertAlign val="superscript"/>
        <sz val="11"/>
        <color theme="1"/>
        <rFont val="Aptos Narrow"/>
        <family val="2"/>
        <scheme val="minor"/>
      </rPr>
      <t>th</t>
    </r>
  </si>
  <si>
    <r>
      <t>581</t>
    </r>
    <r>
      <rPr>
        <vertAlign val="superscript"/>
        <sz val="11"/>
        <color theme="1"/>
        <rFont val="Aptos Narrow"/>
        <family val="2"/>
        <scheme val="minor"/>
      </rPr>
      <t>st</t>
    </r>
  </si>
  <si>
    <r>
      <t>582</t>
    </r>
    <r>
      <rPr>
        <vertAlign val="superscript"/>
        <sz val="11"/>
        <color theme="1"/>
        <rFont val="Aptos Narrow"/>
        <family val="2"/>
        <scheme val="minor"/>
      </rPr>
      <t>nd</t>
    </r>
  </si>
  <si>
    <t>2020</t>
  </si>
  <si>
    <r>
      <t>583</t>
    </r>
    <r>
      <rPr>
        <vertAlign val="superscript"/>
        <sz val="11"/>
        <color theme="1"/>
        <rFont val="Aptos Narrow"/>
        <family val="2"/>
        <scheme val="minor"/>
      </rPr>
      <t>rd</t>
    </r>
  </si>
  <si>
    <r>
      <t>584</t>
    </r>
    <r>
      <rPr>
        <vertAlign val="superscript"/>
        <sz val="11"/>
        <color theme="1"/>
        <rFont val="Aptos Narrow"/>
        <family val="2"/>
        <scheme val="minor"/>
      </rPr>
      <t>th</t>
    </r>
  </si>
  <si>
    <r>
      <t>585</t>
    </r>
    <r>
      <rPr>
        <vertAlign val="superscript"/>
        <sz val="11"/>
        <color theme="1"/>
        <rFont val="Aptos Narrow"/>
        <family val="2"/>
        <scheme val="minor"/>
      </rPr>
      <t>th</t>
    </r>
  </si>
  <si>
    <r>
      <t>586</t>
    </r>
    <r>
      <rPr>
        <vertAlign val="superscript"/>
        <sz val="11"/>
        <color theme="1"/>
        <rFont val="Aptos Narrow"/>
        <family val="2"/>
        <scheme val="minor"/>
      </rPr>
      <t>th</t>
    </r>
  </si>
  <si>
    <r>
      <t>587</t>
    </r>
    <r>
      <rPr>
        <vertAlign val="superscript"/>
        <sz val="11"/>
        <color theme="1"/>
        <rFont val="Aptos Narrow"/>
        <family val="2"/>
        <scheme val="minor"/>
      </rPr>
      <t>th</t>
    </r>
  </si>
  <si>
    <r>
      <t>588</t>
    </r>
    <r>
      <rPr>
        <vertAlign val="superscript"/>
        <sz val="11"/>
        <color theme="1"/>
        <rFont val="Aptos Narrow"/>
        <family val="2"/>
        <scheme val="minor"/>
      </rPr>
      <t>th</t>
    </r>
  </si>
  <si>
    <r>
      <t>589</t>
    </r>
    <r>
      <rPr>
        <vertAlign val="superscript"/>
        <sz val="11"/>
        <color theme="1"/>
        <rFont val="Aptos Narrow"/>
        <family val="2"/>
        <scheme val="minor"/>
      </rPr>
      <t>th</t>
    </r>
  </si>
  <si>
    <r>
      <t>590</t>
    </r>
    <r>
      <rPr>
        <vertAlign val="superscript"/>
        <sz val="11"/>
        <color theme="1"/>
        <rFont val="Aptos Narrow"/>
        <family val="2"/>
        <scheme val="minor"/>
      </rPr>
      <t>th</t>
    </r>
  </si>
  <si>
    <r>
      <t>591</t>
    </r>
    <r>
      <rPr>
        <vertAlign val="superscript"/>
        <sz val="11"/>
        <color theme="1"/>
        <rFont val="Aptos Narrow"/>
        <family val="2"/>
        <scheme val="minor"/>
      </rPr>
      <t>st</t>
    </r>
  </si>
  <si>
    <r>
      <t>592</t>
    </r>
    <r>
      <rPr>
        <vertAlign val="superscript"/>
        <sz val="11"/>
        <color theme="1"/>
        <rFont val="Aptos Narrow"/>
        <family val="2"/>
        <scheme val="minor"/>
      </rPr>
      <t>nd</t>
    </r>
  </si>
  <si>
    <r>
      <t>593</t>
    </r>
    <r>
      <rPr>
        <vertAlign val="superscript"/>
        <sz val="11"/>
        <color theme="1"/>
        <rFont val="Aptos Narrow"/>
        <family val="2"/>
        <scheme val="minor"/>
      </rPr>
      <t>rd</t>
    </r>
  </si>
  <si>
    <r>
      <t>594</t>
    </r>
    <r>
      <rPr>
        <vertAlign val="superscript"/>
        <sz val="11"/>
        <color theme="1"/>
        <rFont val="Aptos Narrow"/>
        <family val="2"/>
        <scheme val="minor"/>
      </rPr>
      <t>th</t>
    </r>
  </si>
  <si>
    <r>
      <t>595</t>
    </r>
    <r>
      <rPr>
        <vertAlign val="superscript"/>
        <sz val="11"/>
        <color theme="1"/>
        <rFont val="Aptos Narrow"/>
        <family val="2"/>
        <scheme val="minor"/>
      </rPr>
      <t>th</t>
    </r>
  </si>
  <si>
    <r>
      <t>596</t>
    </r>
    <r>
      <rPr>
        <vertAlign val="superscript"/>
        <sz val="11"/>
        <color theme="1"/>
        <rFont val="Aptos Narrow"/>
        <family val="2"/>
        <scheme val="minor"/>
      </rPr>
      <t>th</t>
    </r>
  </si>
  <si>
    <r>
      <t>597</t>
    </r>
    <r>
      <rPr>
        <vertAlign val="superscript"/>
        <sz val="11"/>
        <color theme="1"/>
        <rFont val="Aptos Narrow"/>
        <family val="2"/>
        <scheme val="minor"/>
      </rPr>
      <t>th</t>
    </r>
  </si>
  <si>
    <r>
      <t>598</t>
    </r>
    <r>
      <rPr>
        <vertAlign val="superscript"/>
        <sz val="11"/>
        <color theme="1"/>
        <rFont val="Aptos Narrow"/>
        <family val="2"/>
        <scheme val="minor"/>
      </rPr>
      <t>th</t>
    </r>
  </si>
  <si>
    <r>
      <t>599</t>
    </r>
    <r>
      <rPr>
        <vertAlign val="superscript"/>
        <sz val="11"/>
        <color theme="1"/>
        <rFont val="Aptos Narrow"/>
        <family val="2"/>
        <scheme val="minor"/>
      </rPr>
      <t>th</t>
    </r>
  </si>
  <si>
    <r>
      <t>600</t>
    </r>
    <r>
      <rPr>
        <vertAlign val="superscript"/>
        <sz val="11"/>
        <color theme="1"/>
        <rFont val="Aptos Narrow"/>
        <family val="2"/>
        <scheme val="minor"/>
      </rPr>
      <t>th</t>
    </r>
  </si>
  <si>
    <r>
      <t>601</t>
    </r>
    <r>
      <rPr>
        <vertAlign val="superscript"/>
        <sz val="11"/>
        <color theme="1"/>
        <rFont val="Aptos Narrow"/>
        <family val="2"/>
        <scheme val="minor"/>
      </rPr>
      <t>st</t>
    </r>
  </si>
  <si>
    <r>
      <t>602</t>
    </r>
    <r>
      <rPr>
        <vertAlign val="superscript"/>
        <sz val="11"/>
        <color theme="1"/>
        <rFont val="Aptos Narrow"/>
        <family val="2"/>
        <scheme val="minor"/>
      </rPr>
      <t>nd</t>
    </r>
  </si>
  <si>
    <r>
      <t>603</t>
    </r>
    <r>
      <rPr>
        <vertAlign val="superscript"/>
        <sz val="11"/>
        <color theme="1"/>
        <rFont val="Aptos Narrow"/>
        <family val="2"/>
        <scheme val="minor"/>
      </rPr>
      <t>rd</t>
    </r>
  </si>
  <si>
    <r>
      <t>604</t>
    </r>
    <r>
      <rPr>
        <vertAlign val="superscript"/>
        <sz val="11"/>
        <color theme="1"/>
        <rFont val="Aptos Narrow"/>
        <family val="2"/>
        <scheme val="minor"/>
      </rPr>
      <t>th</t>
    </r>
  </si>
  <si>
    <r>
      <t>605</t>
    </r>
    <r>
      <rPr>
        <vertAlign val="superscript"/>
        <sz val="11"/>
        <color theme="1"/>
        <rFont val="Aptos Narrow"/>
        <family val="2"/>
        <scheme val="minor"/>
      </rPr>
      <t>th</t>
    </r>
  </si>
  <si>
    <r>
      <t>606</t>
    </r>
    <r>
      <rPr>
        <vertAlign val="superscript"/>
        <sz val="11"/>
        <color theme="1"/>
        <rFont val="Aptos Narrow"/>
        <family val="2"/>
        <scheme val="minor"/>
      </rPr>
      <t>th</t>
    </r>
  </si>
  <si>
    <r>
      <t>607</t>
    </r>
    <r>
      <rPr>
        <vertAlign val="superscript"/>
        <sz val="11"/>
        <color theme="1"/>
        <rFont val="Aptos Narrow"/>
        <family val="2"/>
        <scheme val="minor"/>
      </rPr>
      <t>th</t>
    </r>
  </si>
  <si>
    <r>
      <t>608</t>
    </r>
    <r>
      <rPr>
        <vertAlign val="superscript"/>
        <sz val="11"/>
        <color theme="1"/>
        <rFont val="Aptos Narrow"/>
        <family val="2"/>
        <scheme val="minor"/>
      </rPr>
      <t>th</t>
    </r>
  </si>
  <si>
    <t>2021</t>
  </si>
  <si>
    <r>
      <t>609</t>
    </r>
    <r>
      <rPr>
        <vertAlign val="superscript"/>
        <sz val="11"/>
        <color theme="1"/>
        <rFont val="Aptos Narrow"/>
        <family val="2"/>
        <scheme val="minor"/>
      </rPr>
      <t>th</t>
    </r>
  </si>
  <si>
    <r>
      <t>610</t>
    </r>
    <r>
      <rPr>
        <vertAlign val="superscript"/>
        <sz val="11"/>
        <color theme="1"/>
        <rFont val="Aptos Narrow"/>
        <family val="2"/>
        <scheme val="minor"/>
      </rPr>
      <t>th</t>
    </r>
  </si>
  <si>
    <r>
      <t>611</t>
    </r>
    <r>
      <rPr>
        <vertAlign val="superscript"/>
        <sz val="11"/>
        <color theme="1"/>
        <rFont val="Aptos Narrow"/>
        <family val="2"/>
        <scheme val="minor"/>
      </rPr>
      <t>th</t>
    </r>
  </si>
  <si>
    <r>
      <t>612</t>
    </r>
    <r>
      <rPr>
        <vertAlign val="superscript"/>
        <sz val="11"/>
        <color theme="1"/>
        <rFont val="Aptos Narrow"/>
        <family val="2"/>
        <scheme val="minor"/>
      </rPr>
      <t>th</t>
    </r>
  </si>
  <si>
    <r>
      <t>613</t>
    </r>
    <r>
      <rPr>
        <vertAlign val="superscript"/>
        <sz val="11"/>
        <color theme="1"/>
        <rFont val="Aptos Narrow"/>
        <family val="2"/>
        <scheme val="minor"/>
      </rPr>
      <t>th</t>
    </r>
  </si>
  <si>
    <r>
      <t>614</t>
    </r>
    <r>
      <rPr>
        <vertAlign val="superscript"/>
        <sz val="11"/>
        <color theme="1"/>
        <rFont val="Aptos Narrow"/>
        <family val="2"/>
        <scheme val="minor"/>
      </rPr>
      <t>th</t>
    </r>
  </si>
  <si>
    <r>
      <t>615</t>
    </r>
    <r>
      <rPr>
        <vertAlign val="superscript"/>
        <sz val="11"/>
        <color theme="1"/>
        <rFont val="Aptos Narrow"/>
        <family val="2"/>
        <scheme val="minor"/>
      </rPr>
      <t>th</t>
    </r>
  </si>
  <si>
    <r>
      <t>616</t>
    </r>
    <r>
      <rPr>
        <vertAlign val="superscript"/>
        <sz val="11"/>
        <color theme="1"/>
        <rFont val="Aptos Narrow"/>
        <family val="2"/>
        <scheme val="minor"/>
      </rPr>
      <t>th</t>
    </r>
  </si>
  <si>
    <r>
      <t>617</t>
    </r>
    <r>
      <rPr>
        <vertAlign val="superscript"/>
        <sz val="11"/>
        <color theme="1"/>
        <rFont val="Aptos Narrow"/>
        <family val="2"/>
        <scheme val="minor"/>
      </rPr>
      <t>th</t>
    </r>
  </si>
  <si>
    <r>
      <t>618</t>
    </r>
    <r>
      <rPr>
        <vertAlign val="superscript"/>
        <sz val="11"/>
        <color theme="1"/>
        <rFont val="Aptos Narrow"/>
        <family val="2"/>
        <scheme val="minor"/>
      </rPr>
      <t>th</t>
    </r>
  </si>
  <si>
    <r>
      <t>619</t>
    </r>
    <r>
      <rPr>
        <vertAlign val="superscript"/>
        <sz val="11"/>
        <color theme="1"/>
        <rFont val="Aptos Narrow"/>
        <family val="2"/>
        <scheme val="minor"/>
      </rPr>
      <t>th</t>
    </r>
  </si>
  <si>
    <r>
      <t>620</t>
    </r>
    <r>
      <rPr>
        <vertAlign val="superscript"/>
        <sz val="11"/>
        <color theme="1"/>
        <rFont val="Aptos Narrow"/>
        <family val="2"/>
        <scheme val="minor"/>
      </rPr>
      <t>th</t>
    </r>
  </si>
  <si>
    <r>
      <t>621</t>
    </r>
    <r>
      <rPr>
        <vertAlign val="superscript"/>
        <sz val="11"/>
        <color theme="1"/>
        <rFont val="Aptos Narrow"/>
        <family val="2"/>
        <scheme val="minor"/>
      </rPr>
      <t>st</t>
    </r>
  </si>
  <si>
    <r>
      <t>622</t>
    </r>
    <r>
      <rPr>
        <vertAlign val="superscript"/>
        <sz val="11"/>
        <color theme="1"/>
        <rFont val="Aptos Narrow"/>
        <family val="2"/>
        <scheme val="minor"/>
      </rPr>
      <t>nd</t>
    </r>
  </si>
  <si>
    <r>
      <t>623</t>
    </r>
    <r>
      <rPr>
        <vertAlign val="superscript"/>
        <sz val="11"/>
        <color theme="1"/>
        <rFont val="Aptos Narrow"/>
        <family val="2"/>
        <scheme val="minor"/>
      </rPr>
      <t>rd</t>
    </r>
  </si>
  <si>
    <r>
      <t>624</t>
    </r>
    <r>
      <rPr>
        <vertAlign val="superscript"/>
        <sz val="11"/>
        <color theme="1"/>
        <rFont val="Aptos Narrow"/>
        <family val="2"/>
        <scheme val="minor"/>
      </rPr>
      <t>th</t>
    </r>
  </si>
  <si>
    <r>
      <t>625</t>
    </r>
    <r>
      <rPr>
        <vertAlign val="superscript"/>
        <sz val="11"/>
        <color theme="1"/>
        <rFont val="Aptos Narrow"/>
        <family val="2"/>
        <scheme val="minor"/>
      </rPr>
      <t>th</t>
    </r>
  </si>
  <si>
    <r>
      <t>626</t>
    </r>
    <r>
      <rPr>
        <vertAlign val="superscript"/>
        <sz val="11"/>
        <color theme="1"/>
        <rFont val="Aptos Narrow"/>
        <family val="2"/>
        <scheme val="minor"/>
      </rPr>
      <t>th</t>
    </r>
  </si>
  <si>
    <r>
      <t>627</t>
    </r>
    <r>
      <rPr>
        <vertAlign val="superscript"/>
        <sz val="11"/>
        <color theme="1"/>
        <rFont val="Aptos Narrow"/>
        <family val="2"/>
        <scheme val="minor"/>
      </rPr>
      <t>th</t>
    </r>
  </si>
  <si>
    <r>
      <t>628</t>
    </r>
    <r>
      <rPr>
        <vertAlign val="superscript"/>
        <sz val="11"/>
        <color theme="1"/>
        <rFont val="Aptos Narrow"/>
        <family val="2"/>
        <scheme val="minor"/>
      </rPr>
      <t>th</t>
    </r>
  </si>
  <si>
    <r>
      <t>629</t>
    </r>
    <r>
      <rPr>
        <vertAlign val="superscript"/>
        <sz val="11"/>
        <color theme="1"/>
        <rFont val="Aptos Narrow"/>
        <family val="2"/>
        <scheme val="minor"/>
      </rPr>
      <t>th</t>
    </r>
  </si>
  <si>
    <r>
      <t>630</t>
    </r>
    <r>
      <rPr>
        <vertAlign val="superscript"/>
        <sz val="11"/>
        <color theme="1"/>
        <rFont val="Aptos Narrow"/>
        <family val="2"/>
        <scheme val="minor"/>
      </rPr>
      <t>th</t>
    </r>
  </si>
  <si>
    <r>
      <t>631</t>
    </r>
    <r>
      <rPr>
        <vertAlign val="superscript"/>
        <sz val="11"/>
        <color theme="1"/>
        <rFont val="Aptos Narrow"/>
        <family val="2"/>
        <scheme val="minor"/>
      </rPr>
      <t>st</t>
    </r>
  </si>
  <si>
    <r>
      <t>632</t>
    </r>
    <r>
      <rPr>
        <vertAlign val="superscript"/>
        <sz val="11"/>
        <color theme="1"/>
        <rFont val="Aptos Narrow"/>
        <family val="2"/>
        <scheme val="minor"/>
      </rPr>
      <t>nd</t>
    </r>
  </si>
  <si>
    <r>
      <t>633</t>
    </r>
    <r>
      <rPr>
        <vertAlign val="superscript"/>
        <sz val="11"/>
        <color theme="1"/>
        <rFont val="Aptos Narrow"/>
        <family val="2"/>
        <scheme val="minor"/>
      </rPr>
      <t>rd</t>
    </r>
  </si>
  <si>
    <r>
      <t>634</t>
    </r>
    <r>
      <rPr>
        <vertAlign val="superscript"/>
        <sz val="11"/>
        <color theme="1"/>
        <rFont val="Aptos Narrow"/>
        <family val="2"/>
        <scheme val="minor"/>
      </rPr>
      <t>th</t>
    </r>
  </si>
  <si>
    <t>2022</t>
  </si>
  <si>
    <r>
      <t>636</t>
    </r>
    <r>
      <rPr>
        <vertAlign val="superscript"/>
        <sz val="11"/>
        <color theme="1"/>
        <rFont val="Aptos Narrow"/>
        <family val="2"/>
        <scheme val="minor"/>
      </rPr>
      <t>th</t>
    </r>
  </si>
  <si>
    <r>
      <t>637</t>
    </r>
    <r>
      <rPr>
        <vertAlign val="superscript"/>
        <sz val="11"/>
        <color theme="1"/>
        <rFont val="Aptos Narrow"/>
        <family val="2"/>
        <scheme val="minor"/>
      </rPr>
      <t>th</t>
    </r>
  </si>
  <si>
    <r>
      <t>638</t>
    </r>
    <r>
      <rPr>
        <vertAlign val="superscript"/>
        <sz val="11"/>
        <color theme="1"/>
        <rFont val="Aptos Narrow"/>
        <family val="2"/>
        <scheme val="minor"/>
      </rPr>
      <t>th</t>
    </r>
  </si>
  <si>
    <r>
      <t>639</t>
    </r>
    <r>
      <rPr>
        <vertAlign val="superscript"/>
        <sz val="11"/>
        <color theme="1"/>
        <rFont val="Aptos Narrow"/>
        <family val="2"/>
        <scheme val="minor"/>
      </rPr>
      <t>th</t>
    </r>
  </si>
  <si>
    <r>
      <t>640</t>
    </r>
    <r>
      <rPr>
        <vertAlign val="superscript"/>
        <sz val="11"/>
        <color theme="1"/>
        <rFont val="Aptos Narrow"/>
        <family val="2"/>
        <scheme val="minor"/>
      </rPr>
      <t>th</t>
    </r>
  </si>
  <si>
    <r>
      <t>641</t>
    </r>
    <r>
      <rPr>
        <vertAlign val="superscript"/>
        <sz val="11"/>
        <color theme="1"/>
        <rFont val="Aptos Narrow"/>
        <family val="2"/>
        <scheme val="minor"/>
      </rPr>
      <t>st</t>
    </r>
  </si>
  <si>
    <r>
      <t>642</t>
    </r>
    <r>
      <rPr>
        <vertAlign val="superscript"/>
        <sz val="11"/>
        <color theme="1"/>
        <rFont val="Aptos Narrow"/>
        <family val="2"/>
        <scheme val="minor"/>
      </rPr>
      <t>nd</t>
    </r>
  </si>
  <si>
    <r>
      <t>643</t>
    </r>
    <r>
      <rPr>
        <vertAlign val="superscript"/>
        <sz val="11"/>
        <color theme="1"/>
        <rFont val="Aptos Narrow"/>
        <family val="2"/>
        <scheme val="minor"/>
      </rPr>
      <t>rd</t>
    </r>
  </si>
  <si>
    <r>
      <t>644</t>
    </r>
    <r>
      <rPr>
        <vertAlign val="superscript"/>
        <sz val="11"/>
        <color theme="1"/>
        <rFont val="Aptos Narrow"/>
        <family val="2"/>
        <scheme val="minor"/>
      </rPr>
      <t>th</t>
    </r>
  </si>
  <si>
    <r>
      <t>645</t>
    </r>
    <r>
      <rPr>
        <vertAlign val="superscript"/>
        <sz val="11"/>
        <color theme="1"/>
        <rFont val="Aptos Narrow"/>
        <family val="2"/>
        <scheme val="minor"/>
      </rPr>
      <t>th</t>
    </r>
  </si>
  <si>
    <r>
      <t>646</t>
    </r>
    <r>
      <rPr>
        <vertAlign val="superscript"/>
        <sz val="11"/>
        <color theme="1"/>
        <rFont val="Aptos Narrow"/>
        <family val="2"/>
        <scheme val="minor"/>
      </rPr>
      <t>th</t>
    </r>
  </si>
  <si>
    <r>
      <t>647</t>
    </r>
    <r>
      <rPr>
        <vertAlign val="superscript"/>
        <sz val="11"/>
        <color theme="1"/>
        <rFont val="Aptos Narrow"/>
        <family val="2"/>
        <scheme val="minor"/>
      </rPr>
      <t>th</t>
    </r>
  </si>
  <si>
    <r>
      <t>648</t>
    </r>
    <r>
      <rPr>
        <vertAlign val="superscript"/>
        <sz val="11"/>
        <color theme="1"/>
        <rFont val="Aptos Narrow"/>
        <family val="2"/>
        <scheme val="minor"/>
      </rPr>
      <t>th</t>
    </r>
  </si>
  <si>
    <r>
      <t>649</t>
    </r>
    <r>
      <rPr>
        <vertAlign val="superscript"/>
        <sz val="11"/>
        <color theme="1"/>
        <rFont val="Aptos Narrow"/>
        <family val="2"/>
        <scheme val="minor"/>
      </rPr>
      <t>th</t>
    </r>
  </si>
  <si>
    <r>
      <t>650</t>
    </r>
    <r>
      <rPr>
        <vertAlign val="superscript"/>
        <sz val="11"/>
        <color theme="1"/>
        <rFont val="Aptos Narrow"/>
        <family val="2"/>
        <scheme val="minor"/>
      </rPr>
      <t>th</t>
    </r>
  </si>
  <si>
    <r>
      <t>651</t>
    </r>
    <r>
      <rPr>
        <vertAlign val="superscript"/>
        <sz val="11"/>
        <color theme="1"/>
        <rFont val="Aptos Narrow"/>
        <family val="2"/>
        <scheme val="minor"/>
      </rPr>
      <t>st</t>
    </r>
  </si>
  <si>
    <r>
      <t>652</t>
    </r>
    <r>
      <rPr>
        <vertAlign val="superscript"/>
        <sz val="11"/>
        <color theme="1"/>
        <rFont val="Aptos Narrow"/>
        <family val="2"/>
        <scheme val="minor"/>
      </rPr>
      <t>nd</t>
    </r>
  </si>
  <si>
    <r>
      <t>653</t>
    </r>
    <r>
      <rPr>
        <vertAlign val="superscript"/>
        <sz val="11"/>
        <color theme="1"/>
        <rFont val="Aptos Narrow"/>
        <family val="2"/>
        <scheme val="minor"/>
      </rPr>
      <t>rd</t>
    </r>
  </si>
  <si>
    <r>
      <t>654</t>
    </r>
    <r>
      <rPr>
        <vertAlign val="superscript"/>
        <sz val="11"/>
        <color theme="1"/>
        <rFont val="Aptos Narrow"/>
        <family val="2"/>
        <scheme val="minor"/>
      </rPr>
      <t>th</t>
    </r>
  </si>
  <si>
    <r>
      <t>655</t>
    </r>
    <r>
      <rPr>
        <vertAlign val="superscript"/>
        <sz val="11"/>
        <color theme="1"/>
        <rFont val="Aptos Narrow"/>
        <family val="2"/>
        <scheme val="minor"/>
      </rPr>
      <t>th</t>
    </r>
  </si>
  <si>
    <r>
      <t>656</t>
    </r>
    <r>
      <rPr>
        <vertAlign val="superscript"/>
        <sz val="11"/>
        <color theme="1"/>
        <rFont val="Aptos Narrow"/>
        <family val="2"/>
        <scheme val="minor"/>
      </rPr>
      <t>th</t>
    </r>
  </si>
  <si>
    <r>
      <t>657</t>
    </r>
    <r>
      <rPr>
        <vertAlign val="superscript"/>
        <sz val="11"/>
        <color theme="1"/>
        <rFont val="Aptos Narrow"/>
        <family val="2"/>
        <scheme val="minor"/>
      </rPr>
      <t>th</t>
    </r>
  </si>
  <si>
    <r>
      <t>658</t>
    </r>
    <r>
      <rPr>
        <vertAlign val="superscript"/>
        <sz val="11"/>
        <color theme="1"/>
        <rFont val="Aptos Narrow"/>
        <family val="2"/>
        <scheme val="minor"/>
      </rPr>
      <t>th</t>
    </r>
  </si>
  <si>
    <r>
      <t>659</t>
    </r>
    <r>
      <rPr>
        <vertAlign val="superscript"/>
        <sz val="11"/>
        <color theme="1"/>
        <rFont val="Aptos Narrow"/>
        <family val="2"/>
        <scheme val="minor"/>
      </rPr>
      <t>th</t>
    </r>
  </si>
  <si>
    <r>
      <t>660</t>
    </r>
    <r>
      <rPr>
        <vertAlign val="superscript"/>
        <sz val="11"/>
        <color theme="1"/>
        <rFont val="Aptos Narrow"/>
        <family val="2"/>
        <scheme val="minor"/>
      </rPr>
      <t>th</t>
    </r>
  </si>
  <si>
    <r>
      <t>661</t>
    </r>
    <r>
      <rPr>
        <vertAlign val="superscript"/>
        <sz val="11"/>
        <color theme="1"/>
        <rFont val="Aptos Narrow"/>
        <family val="2"/>
        <scheme val="minor"/>
      </rPr>
      <t>st</t>
    </r>
  </si>
  <si>
    <t>2023</t>
  </si>
  <si>
    <r>
      <t>662</t>
    </r>
    <r>
      <rPr>
        <vertAlign val="superscript"/>
        <sz val="11"/>
        <color theme="1"/>
        <rFont val="Aptos Narrow"/>
        <family val="2"/>
        <scheme val="minor"/>
      </rPr>
      <t>nd</t>
    </r>
  </si>
  <si>
    <r>
      <t>663</t>
    </r>
    <r>
      <rPr>
        <vertAlign val="superscript"/>
        <sz val="11"/>
        <color theme="1"/>
        <rFont val="Aptos Narrow"/>
        <family val="2"/>
        <scheme val="minor"/>
      </rPr>
      <t>rd</t>
    </r>
  </si>
  <si>
    <r>
      <t>664</t>
    </r>
    <r>
      <rPr>
        <vertAlign val="superscript"/>
        <sz val="11"/>
        <color theme="1"/>
        <rFont val="Aptos Narrow"/>
        <family val="2"/>
        <scheme val="minor"/>
      </rPr>
      <t>th</t>
    </r>
  </si>
  <si>
    <r>
      <t>665</t>
    </r>
    <r>
      <rPr>
        <vertAlign val="superscript"/>
        <sz val="11"/>
        <color theme="1"/>
        <rFont val="Aptos Narrow"/>
        <family val="2"/>
        <scheme val="minor"/>
      </rPr>
      <t>th</t>
    </r>
  </si>
  <si>
    <r>
      <t>666</t>
    </r>
    <r>
      <rPr>
        <vertAlign val="superscript"/>
        <sz val="11"/>
        <color theme="1"/>
        <rFont val="Aptos Narrow"/>
        <family val="2"/>
        <scheme val="minor"/>
      </rPr>
      <t>th</t>
    </r>
  </si>
  <si>
    <r>
      <t>667</t>
    </r>
    <r>
      <rPr>
        <vertAlign val="superscript"/>
        <sz val="11"/>
        <color theme="1"/>
        <rFont val="Aptos Narrow"/>
        <family val="2"/>
        <scheme val="minor"/>
      </rPr>
      <t>th</t>
    </r>
  </si>
  <si>
    <r>
      <t>668</t>
    </r>
    <r>
      <rPr>
        <vertAlign val="superscript"/>
        <sz val="11"/>
        <color theme="1"/>
        <rFont val="Aptos Narrow"/>
        <family val="2"/>
        <scheme val="minor"/>
      </rPr>
      <t>th</t>
    </r>
  </si>
  <si>
    <r>
      <t>669</t>
    </r>
    <r>
      <rPr>
        <vertAlign val="superscript"/>
        <sz val="11"/>
        <color theme="1"/>
        <rFont val="Aptos Narrow"/>
        <family val="2"/>
        <scheme val="minor"/>
      </rPr>
      <t>th</t>
    </r>
  </si>
  <si>
    <r>
      <t>670</t>
    </r>
    <r>
      <rPr>
        <vertAlign val="superscript"/>
        <sz val="11"/>
        <color theme="1"/>
        <rFont val="Aptos Narrow"/>
        <family val="2"/>
        <scheme val="minor"/>
      </rPr>
      <t>th</t>
    </r>
  </si>
  <si>
    <r>
      <t>671</t>
    </r>
    <r>
      <rPr>
        <vertAlign val="superscript"/>
        <sz val="11"/>
        <color theme="1"/>
        <rFont val="Aptos Narrow"/>
        <family val="2"/>
        <scheme val="minor"/>
      </rPr>
      <t>st</t>
    </r>
  </si>
  <si>
    <r>
      <t>672</t>
    </r>
    <r>
      <rPr>
        <vertAlign val="superscript"/>
        <sz val="11"/>
        <color theme="1"/>
        <rFont val="Aptos Narrow"/>
        <family val="2"/>
        <scheme val="minor"/>
      </rPr>
      <t>nd</t>
    </r>
  </si>
  <si>
    <r>
      <t>673</t>
    </r>
    <r>
      <rPr>
        <vertAlign val="superscript"/>
        <sz val="11"/>
        <color theme="1"/>
        <rFont val="Aptos Narrow"/>
        <family val="2"/>
        <scheme val="minor"/>
      </rPr>
      <t>rd</t>
    </r>
  </si>
  <si>
    <r>
      <t>674</t>
    </r>
    <r>
      <rPr>
        <vertAlign val="superscript"/>
        <sz val="11"/>
        <color theme="1"/>
        <rFont val="Aptos Narrow"/>
        <family val="2"/>
        <scheme val="minor"/>
      </rPr>
      <t>th</t>
    </r>
  </si>
  <si>
    <r>
      <t>675</t>
    </r>
    <r>
      <rPr>
        <vertAlign val="superscript"/>
        <sz val="11"/>
        <color theme="1"/>
        <rFont val="Aptos Narrow"/>
        <family val="2"/>
        <scheme val="minor"/>
      </rPr>
      <t>th</t>
    </r>
  </si>
  <si>
    <r>
      <t>676</t>
    </r>
    <r>
      <rPr>
        <vertAlign val="superscript"/>
        <sz val="11"/>
        <color theme="1"/>
        <rFont val="Aptos Narrow"/>
        <family val="2"/>
        <scheme val="minor"/>
      </rPr>
      <t>th</t>
    </r>
  </si>
  <si>
    <r>
      <t>677</t>
    </r>
    <r>
      <rPr>
        <vertAlign val="superscript"/>
        <sz val="11"/>
        <color theme="1"/>
        <rFont val="Aptos Narrow"/>
        <family val="2"/>
        <scheme val="minor"/>
      </rPr>
      <t>th</t>
    </r>
  </si>
  <si>
    <r>
      <t>678</t>
    </r>
    <r>
      <rPr>
        <vertAlign val="superscript"/>
        <sz val="11"/>
        <color theme="1"/>
        <rFont val="Aptos Narrow"/>
        <family val="2"/>
        <scheme val="minor"/>
      </rPr>
      <t>th</t>
    </r>
  </si>
  <si>
    <r>
      <t>679</t>
    </r>
    <r>
      <rPr>
        <vertAlign val="superscript"/>
        <sz val="11"/>
        <color theme="1"/>
        <rFont val="Aptos Narrow"/>
        <family val="2"/>
        <scheme val="minor"/>
      </rPr>
      <t>th</t>
    </r>
  </si>
  <si>
    <r>
      <t>680</t>
    </r>
    <r>
      <rPr>
        <vertAlign val="superscript"/>
        <sz val="11"/>
        <color theme="1"/>
        <rFont val="Aptos Narrow"/>
        <family val="2"/>
        <scheme val="minor"/>
      </rPr>
      <t>th</t>
    </r>
  </si>
  <si>
    <r>
      <t>681</t>
    </r>
    <r>
      <rPr>
        <vertAlign val="superscript"/>
        <sz val="11"/>
        <color theme="1"/>
        <rFont val="Aptos Narrow"/>
        <family val="2"/>
        <scheme val="minor"/>
      </rPr>
      <t>st</t>
    </r>
  </si>
  <si>
    <r>
      <t>682</t>
    </r>
    <r>
      <rPr>
        <vertAlign val="superscript"/>
        <sz val="11"/>
        <color theme="1"/>
        <rFont val="Aptos Narrow"/>
        <family val="2"/>
        <scheme val="minor"/>
      </rPr>
      <t>nd</t>
    </r>
  </si>
  <si>
    <r>
      <t>683</t>
    </r>
    <r>
      <rPr>
        <vertAlign val="superscript"/>
        <sz val="11"/>
        <color theme="1"/>
        <rFont val="Aptos Narrow"/>
        <family val="2"/>
        <scheme val="minor"/>
      </rPr>
      <t>rd</t>
    </r>
  </si>
  <si>
    <r>
      <t>684</t>
    </r>
    <r>
      <rPr>
        <vertAlign val="superscript"/>
        <sz val="11"/>
        <color theme="1"/>
        <rFont val="Aptos Narrow"/>
        <family val="2"/>
        <scheme val="minor"/>
      </rPr>
      <t>th</t>
    </r>
  </si>
  <si>
    <r>
      <t>685</t>
    </r>
    <r>
      <rPr>
        <vertAlign val="superscript"/>
        <sz val="11"/>
        <color theme="1"/>
        <rFont val="Aptos Narrow"/>
        <family val="2"/>
        <scheme val="minor"/>
      </rPr>
      <t>th</t>
    </r>
  </si>
  <si>
    <r>
      <t>686</t>
    </r>
    <r>
      <rPr>
        <vertAlign val="superscript"/>
        <sz val="11"/>
        <color theme="1"/>
        <rFont val="Aptos Narrow"/>
        <family val="2"/>
        <scheme val="minor"/>
      </rPr>
      <t>th</t>
    </r>
  </si>
  <si>
    <r>
      <t>687</t>
    </r>
    <r>
      <rPr>
        <vertAlign val="superscript"/>
        <sz val="11"/>
        <color theme="1"/>
        <rFont val="Aptos Narrow"/>
        <family val="2"/>
        <scheme val="minor"/>
      </rPr>
      <t>th</t>
    </r>
  </si>
  <si>
    <t>2024</t>
  </si>
  <si>
    <r>
      <t>688</t>
    </r>
    <r>
      <rPr>
        <vertAlign val="superscript"/>
        <sz val="11"/>
        <color theme="1"/>
        <rFont val="Aptos Narrow"/>
        <family val="2"/>
        <scheme val="minor"/>
      </rPr>
      <t>th</t>
    </r>
  </si>
  <si>
    <r>
      <t>689</t>
    </r>
    <r>
      <rPr>
        <vertAlign val="superscript"/>
        <sz val="11"/>
        <color theme="1"/>
        <rFont val="Aptos Narrow"/>
        <family val="2"/>
        <scheme val="minor"/>
      </rPr>
      <t>th</t>
    </r>
  </si>
  <si>
    <r>
      <t>690</t>
    </r>
    <r>
      <rPr>
        <vertAlign val="superscript"/>
        <sz val="11"/>
        <color theme="1"/>
        <rFont val="Aptos Narrow"/>
        <family val="2"/>
        <scheme val="minor"/>
      </rPr>
      <t>th</t>
    </r>
  </si>
  <si>
    <r>
      <t>691</t>
    </r>
    <r>
      <rPr>
        <vertAlign val="superscript"/>
        <sz val="11"/>
        <color theme="1"/>
        <rFont val="Aptos Narrow"/>
        <family val="2"/>
        <scheme val="minor"/>
      </rPr>
      <t>st</t>
    </r>
  </si>
  <si>
    <r>
      <t>692</t>
    </r>
    <r>
      <rPr>
        <vertAlign val="superscript"/>
        <sz val="11"/>
        <color theme="1"/>
        <rFont val="Aptos Narrow"/>
        <family val="2"/>
        <scheme val="minor"/>
      </rPr>
      <t>nd</t>
    </r>
  </si>
  <si>
    <r>
      <t>693</t>
    </r>
    <r>
      <rPr>
        <vertAlign val="superscript"/>
        <sz val="11"/>
        <color theme="1"/>
        <rFont val="Aptos Narrow"/>
        <family val="2"/>
        <scheme val="minor"/>
      </rPr>
      <t>rd</t>
    </r>
  </si>
  <si>
    <r>
      <t>694</t>
    </r>
    <r>
      <rPr>
        <vertAlign val="superscript"/>
        <sz val="11"/>
        <color theme="1"/>
        <rFont val="Aptos Narrow"/>
        <family val="2"/>
        <scheme val="minor"/>
      </rPr>
      <t>th</t>
    </r>
  </si>
  <si>
    <r>
      <t>695</t>
    </r>
    <r>
      <rPr>
        <vertAlign val="superscript"/>
        <sz val="11"/>
        <color theme="1"/>
        <rFont val="Aptos Narrow"/>
        <family val="2"/>
        <scheme val="minor"/>
      </rPr>
      <t>th</t>
    </r>
  </si>
  <si>
    <r>
      <t>696</t>
    </r>
    <r>
      <rPr>
        <vertAlign val="superscript"/>
        <sz val="11"/>
        <color theme="1"/>
        <rFont val="Aptos Narrow"/>
        <family val="2"/>
        <scheme val="minor"/>
      </rPr>
      <t>th</t>
    </r>
  </si>
  <si>
    <r>
      <t>697</t>
    </r>
    <r>
      <rPr>
        <vertAlign val="superscript"/>
        <sz val="11"/>
        <color theme="1"/>
        <rFont val="Aptos Narrow"/>
        <family val="2"/>
        <scheme val="minor"/>
      </rPr>
      <t>th</t>
    </r>
  </si>
  <si>
    <r>
      <t>698</t>
    </r>
    <r>
      <rPr>
        <vertAlign val="superscript"/>
        <sz val="11"/>
        <color theme="1"/>
        <rFont val="Aptos Narrow"/>
        <family val="2"/>
        <scheme val="minor"/>
      </rPr>
      <t>th</t>
    </r>
  </si>
  <si>
    <r>
      <t>699</t>
    </r>
    <r>
      <rPr>
        <vertAlign val="superscript"/>
        <sz val="11"/>
        <color theme="1"/>
        <rFont val="Aptos Narrow"/>
        <family val="2"/>
        <scheme val="minor"/>
      </rPr>
      <t>th</t>
    </r>
  </si>
  <si>
    <r>
      <t>700</t>
    </r>
    <r>
      <rPr>
        <vertAlign val="superscript"/>
        <sz val="11"/>
        <color theme="1"/>
        <rFont val="Aptos Narrow"/>
        <family val="2"/>
        <scheme val="minor"/>
      </rPr>
      <t>th</t>
    </r>
  </si>
  <si>
    <r>
      <t>701</t>
    </r>
    <r>
      <rPr>
        <vertAlign val="superscript"/>
        <sz val="11"/>
        <color theme="1"/>
        <rFont val="Aptos Narrow"/>
        <family val="2"/>
        <scheme val="minor"/>
      </rPr>
      <t>th</t>
    </r>
  </si>
  <si>
    <r>
      <t>702</t>
    </r>
    <r>
      <rPr>
        <vertAlign val="superscript"/>
        <sz val="11"/>
        <color theme="1"/>
        <rFont val="Aptos Narrow"/>
        <family val="2"/>
        <scheme val="minor"/>
      </rPr>
      <t>nd</t>
    </r>
  </si>
  <si>
    <r>
      <t>703</t>
    </r>
    <r>
      <rPr>
        <vertAlign val="superscript"/>
        <sz val="11"/>
        <color theme="1"/>
        <rFont val="Aptos Narrow"/>
        <family val="2"/>
        <scheme val="minor"/>
      </rPr>
      <t>rd</t>
    </r>
  </si>
  <si>
    <r>
      <t>704</t>
    </r>
    <r>
      <rPr>
        <vertAlign val="superscript"/>
        <sz val="11"/>
        <color theme="1"/>
        <rFont val="Aptos Narrow"/>
        <family val="2"/>
        <scheme val="minor"/>
      </rPr>
      <t>th</t>
    </r>
  </si>
  <si>
    <r>
      <t>705</t>
    </r>
    <r>
      <rPr>
        <vertAlign val="superscript"/>
        <sz val="11"/>
        <color theme="1"/>
        <rFont val="Aptos Narrow"/>
        <family val="2"/>
        <scheme val="minor"/>
      </rPr>
      <t>th</t>
    </r>
  </si>
  <si>
    <r>
      <t>706</t>
    </r>
    <r>
      <rPr>
        <vertAlign val="superscript"/>
        <sz val="11"/>
        <color theme="1"/>
        <rFont val="Aptos Narrow"/>
        <family val="2"/>
        <scheme val="minor"/>
      </rPr>
      <t>th</t>
    </r>
  </si>
  <si>
    <r>
      <t>707</t>
    </r>
    <r>
      <rPr>
        <vertAlign val="superscript"/>
        <sz val="11"/>
        <color theme="1"/>
        <rFont val="Aptos Narrow"/>
        <family val="2"/>
        <scheme val="minor"/>
      </rPr>
      <t>th</t>
    </r>
  </si>
  <si>
    <t>This information is also available at http://www.sbp.org.pk/ecodata/tb.pdf</t>
  </si>
  <si>
    <t>Money Market Division</t>
  </si>
  <si>
    <t>Contact: money.market@sbp.org.pk  Ph: 021-3245-3425/3491/3429</t>
  </si>
  <si>
    <r>
      <rPr>
        <b/>
        <u/>
        <sz val="14"/>
        <color rgb="FF003300"/>
        <rFont val="Arial"/>
        <family val="2"/>
      </rPr>
      <t>PAKISTAN INVESTMENT BONDS</t>
    </r>
  </si>
  <si>
    <r>
      <rPr>
        <b/>
        <u/>
        <sz val="12"/>
        <color rgb="FF003300"/>
        <rFont val="Arial"/>
        <family val="2"/>
      </rPr>
      <t>AUCTION PROFILE</t>
    </r>
  </si>
  <si>
    <r>
      <rPr>
        <b/>
        <u/>
        <sz val="10"/>
        <color rgb="FF003300"/>
        <rFont val="Arial"/>
        <family val="2"/>
      </rPr>
      <t>(FACE VALUE)</t>
    </r>
  </si>
  <si>
    <r>
      <rPr>
        <b/>
        <sz val="10"/>
        <rFont val="Arial"/>
        <family val="2"/>
      </rPr>
      <t>Auction Settlement Date</t>
    </r>
  </si>
  <si>
    <r>
      <rPr>
        <b/>
        <sz val="10"/>
        <rFont val="Arial"/>
        <family val="2"/>
      </rPr>
      <t>Tenor</t>
    </r>
  </si>
  <si>
    <r>
      <rPr>
        <b/>
        <sz val="10"/>
        <rFont val="Arial"/>
        <family val="2"/>
      </rPr>
      <t>Coupon Rate</t>
    </r>
  </si>
  <si>
    <r>
      <rPr>
        <b/>
        <sz val="10"/>
        <rFont val="Arial"/>
        <family val="2"/>
      </rPr>
      <t>Amount Accepted</t>
    </r>
  </si>
  <si>
    <r>
      <rPr>
        <b/>
        <sz val="10"/>
        <rFont val="Arial"/>
        <family val="2"/>
      </rPr>
      <t>Weighted Average Yield%</t>
    </r>
  </si>
  <si>
    <r>
      <rPr>
        <i/>
        <sz val="10"/>
        <rFont val="Arial"/>
        <family val="2"/>
      </rPr>
      <t>(Amount in millions)</t>
    </r>
  </si>
  <si>
    <r>
      <rPr>
        <sz val="10"/>
        <rFont val="Arial MT"/>
        <family val="2"/>
      </rPr>
      <t>(17</t>
    </r>
    <r>
      <rPr>
        <vertAlign val="superscript"/>
        <sz val="10"/>
        <rFont val="Arial MT"/>
        <family val="2"/>
      </rPr>
      <t>th</t>
    </r>
    <r>
      <rPr>
        <sz val="10"/>
        <rFont val="Arial MT"/>
        <family val="2"/>
      </rPr>
      <t xml:space="preserve"> Re-Opening)</t>
    </r>
  </si>
  <si>
    <r>
      <rPr>
        <sz val="10"/>
        <rFont val="Arial MT"/>
        <family val="2"/>
      </rPr>
      <t>10 - Year</t>
    </r>
  </si>
  <si>
    <r>
      <rPr>
        <sz val="10"/>
        <rFont val="Arial MT"/>
        <family val="2"/>
      </rPr>
      <t>20 - Year</t>
    </r>
  </si>
  <si>
    <r>
      <rPr>
        <sz val="10"/>
        <rFont val="Arial MT"/>
        <family val="2"/>
      </rPr>
      <t>-</t>
    </r>
  </si>
  <si>
    <r>
      <rPr>
        <sz val="10"/>
        <rFont val="Arial MT"/>
        <family val="2"/>
      </rPr>
      <t>No Bid Received</t>
    </r>
  </si>
  <si>
    <r>
      <rPr>
        <sz val="10"/>
        <rFont val="Arial MT"/>
        <family val="2"/>
      </rPr>
      <t>47th - Regular (18</t>
    </r>
    <r>
      <rPr>
        <vertAlign val="superscript"/>
        <sz val="10"/>
        <rFont val="Arial MT"/>
        <family val="2"/>
      </rPr>
      <t>th</t>
    </r>
    <r>
      <rPr>
        <sz val="10"/>
        <rFont val="Arial MT"/>
        <family val="2"/>
      </rPr>
      <t xml:space="preserve"> Re-Opening)</t>
    </r>
  </si>
  <si>
    <r>
      <rPr>
        <sz val="10"/>
        <rFont val="Arial MT"/>
        <family val="2"/>
      </rPr>
      <t>June 13, 2018</t>
    </r>
  </si>
  <si>
    <r>
      <rPr>
        <sz val="10"/>
        <rFont val="Arial MT"/>
        <family val="2"/>
      </rPr>
      <t>3 - Year</t>
    </r>
  </si>
  <si>
    <r>
      <rPr>
        <sz val="10"/>
        <rFont val="Arial MT"/>
        <family val="2"/>
      </rPr>
      <t>5 - Year</t>
    </r>
  </si>
  <si>
    <r>
      <rPr>
        <sz val="10"/>
        <rFont val="Arial MT"/>
        <family val="2"/>
      </rPr>
      <t>48th - Regular (Fresh)</t>
    </r>
  </si>
  <si>
    <r>
      <rPr>
        <sz val="10"/>
        <rFont val="Arial MT"/>
        <family val="2"/>
      </rPr>
      <t>July 12, 2018</t>
    </r>
  </si>
  <si>
    <r>
      <rPr>
        <sz val="10"/>
        <rFont val="Arial MT"/>
        <family val="2"/>
      </rPr>
      <t>Bids Rejected</t>
    </r>
  </si>
  <si>
    <r>
      <rPr>
        <b/>
        <u/>
        <sz val="10"/>
        <rFont val="Arial"/>
        <family val="2"/>
      </rPr>
      <t>                   -    </t>
    </r>
  </si>
  <si>
    <r>
      <rPr>
        <sz val="10"/>
        <rFont val="Arial MT"/>
        <family val="2"/>
      </rPr>
      <t>48th - Regular (1</t>
    </r>
    <r>
      <rPr>
        <vertAlign val="superscript"/>
        <sz val="10"/>
        <rFont val="Arial MT"/>
        <family val="2"/>
      </rPr>
      <t>st</t>
    </r>
    <r>
      <rPr>
        <sz val="10"/>
        <rFont val="Arial MT"/>
        <family val="2"/>
      </rPr>
      <t xml:space="preserve"> Re-Opening)</t>
    </r>
  </si>
  <si>
    <r>
      <rPr>
        <sz val="10"/>
        <rFont val="Arial MT"/>
        <family val="2"/>
      </rPr>
      <t>August 9, 2018</t>
    </r>
  </si>
  <si>
    <r>
      <rPr>
        <sz val="10"/>
        <rFont val="Arial MT"/>
        <family val="2"/>
      </rPr>
      <t>48th - Regular (2nd Re-Opening)</t>
    </r>
  </si>
  <si>
    <r>
      <rPr>
        <sz val="10"/>
        <rFont val="Arial MT"/>
        <family val="2"/>
      </rPr>
      <t>September 6, 2018</t>
    </r>
  </si>
  <si>
    <r>
      <rPr>
        <sz val="10"/>
        <rFont val="Arial MT"/>
        <family val="2"/>
      </rPr>
      <t>48th - Regular (3rd Re-Opening)</t>
    </r>
  </si>
  <si>
    <r>
      <rPr>
        <sz val="10"/>
        <rFont val="Arial MT"/>
        <family val="2"/>
      </rPr>
      <t>October 18, 2018</t>
    </r>
  </si>
  <si>
    <r>
      <rPr>
        <sz val="10"/>
        <rFont val="Arial MT"/>
        <family val="2"/>
      </rPr>
      <t>48th - Regular (4th Re-Opening)</t>
    </r>
  </si>
  <si>
    <r>
      <rPr>
        <sz val="10"/>
        <rFont val="Arial MT"/>
        <family val="2"/>
      </rPr>
      <t>November 29, 2018</t>
    </r>
  </si>
  <si>
    <r>
      <rPr>
        <sz val="10"/>
        <rFont val="Arial MT"/>
        <family val="2"/>
      </rPr>
      <t>48th - Regular (5th Re-Opening)</t>
    </r>
  </si>
  <si>
    <r>
      <rPr>
        <sz val="10"/>
        <rFont val="Arial MT"/>
        <family val="2"/>
      </rPr>
      <t>December 27, 2018</t>
    </r>
  </si>
  <si>
    <r>
      <rPr>
        <sz val="10"/>
        <rFont val="Arial MT"/>
        <family val="2"/>
      </rPr>
      <t>48th - Regular (6th Re-Opening)</t>
    </r>
  </si>
  <si>
    <r>
      <rPr>
        <sz val="10"/>
        <rFont val="Arial MT"/>
        <family val="2"/>
      </rPr>
      <t>January 24, 2019</t>
    </r>
  </si>
  <si>
    <r>
      <rPr>
        <sz val="10"/>
        <rFont val="Arial MT"/>
        <family val="2"/>
      </rPr>
      <t>48th - Regular (7th Re-Opening)</t>
    </r>
  </si>
  <si>
    <r>
      <rPr>
        <sz val="10"/>
        <rFont val="Arial MT"/>
        <family val="2"/>
      </rPr>
      <t>February 21, 2019</t>
    </r>
  </si>
  <si>
    <r>
      <rPr>
        <sz val="10"/>
        <rFont val="Arial MT"/>
        <family val="2"/>
      </rPr>
      <t>48th - Regular (8th Re-Opening)</t>
    </r>
  </si>
  <si>
    <r>
      <rPr>
        <sz val="10"/>
        <rFont val="Arial MT"/>
        <family val="2"/>
      </rPr>
      <t>March 21, 2019</t>
    </r>
  </si>
  <si>
    <r>
      <rPr>
        <sz val="10"/>
        <rFont val="Arial MT"/>
        <family val="2"/>
      </rPr>
      <t>48th - Regular (9th Re-Opening)</t>
    </r>
  </si>
  <si>
    <r>
      <rPr>
        <sz val="10"/>
        <rFont val="Arial MT"/>
        <family val="2"/>
      </rPr>
      <t>April 18, 2019</t>
    </r>
  </si>
  <si>
    <r>
      <rPr>
        <sz val="10"/>
        <rFont val="Arial MT"/>
        <family val="2"/>
      </rPr>
      <t>48th - Regular (10th Re-Opening)</t>
    </r>
  </si>
  <si>
    <r>
      <rPr>
        <sz val="10"/>
        <rFont val="Arial MT"/>
        <family val="2"/>
      </rPr>
      <t>May 30, 2019</t>
    </r>
  </si>
  <si>
    <r>
      <rPr>
        <sz val="10"/>
        <rFont val="Arial MT"/>
        <family val="2"/>
      </rPr>
      <t>48th - Regular (11th Re-Opening)</t>
    </r>
  </si>
  <si>
    <r>
      <rPr>
        <sz val="10"/>
        <rFont val="Arial MT"/>
        <family val="2"/>
      </rPr>
      <t>June 27, 2019</t>
    </r>
  </si>
  <si>
    <r>
      <rPr>
        <sz val="10"/>
        <rFont val="Arial MT"/>
        <family val="2"/>
      </rPr>
      <t>48th - Regular (12th Re-Opening)</t>
    </r>
  </si>
  <si>
    <r>
      <rPr>
        <sz val="10"/>
        <rFont val="Arial MT"/>
        <family val="2"/>
      </rPr>
      <t>July 25, 2019</t>
    </r>
  </si>
  <si>
    <r>
      <rPr>
        <sz val="10"/>
        <rFont val="Arial MT"/>
        <family val="2"/>
      </rPr>
      <t>48th - Regular (13th Re-Opening)</t>
    </r>
  </si>
  <si>
    <r>
      <rPr>
        <sz val="10"/>
        <rFont val="Arial MT"/>
        <family val="2"/>
      </rPr>
      <t>August 22, 2019</t>
    </r>
  </si>
  <si>
    <r>
      <rPr>
        <sz val="10"/>
        <rFont val="Arial MT"/>
        <family val="2"/>
      </rPr>
      <t>49th - Regular (Fresh Issuance)</t>
    </r>
  </si>
  <si>
    <r>
      <rPr>
        <sz val="10"/>
        <rFont val="Arial MT"/>
        <family val="2"/>
      </rPr>
      <t>September 19, 2019</t>
    </r>
  </si>
  <si>
    <r>
      <rPr>
        <sz val="10"/>
        <rFont val="Arial MT"/>
        <family val="2"/>
      </rPr>
      <t>49th - Regular (1st Re-Opening)</t>
    </r>
  </si>
  <si>
    <r>
      <rPr>
        <sz val="10"/>
        <rFont val="Arial MT"/>
        <family val="2"/>
      </rPr>
      <t>October 31, 2019</t>
    </r>
  </si>
  <si>
    <t>Average Weighted Yields</t>
  </si>
  <si>
    <t>Coupon Rate</t>
  </si>
  <si>
    <t>2 - Year</t>
  </si>
  <si>
    <r>
      <rPr>
        <sz val="10"/>
        <rFont val="Arial MT"/>
        <family val="2"/>
      </rPr>
      <t>49th - Regular (2nd Re-Opening)</t>
    </r>
  </si>
  <si>
    <r>
      <rPr>
        <sz val="10"/>
        <rFont val="Arial MT"/>
        <family val="2"/>
      </rPr>
      <t>November 14, 2019</t>
    </r>
  </si>
  <si>
    <t>3 - Year</t>
  </si>
  <si>
    <t>5 - Year</t>
  </si>
  <si>
    <t>10 - Year</t>
  </si>
  <si>
    <r>
      <rPr>
        <sz val="10"/>
        <rFont val="Arial MT"/>
        <family val="2"/>
      </rPr>
      <t>Bid Rejected</t>
    </r>
  </si>
  <si>
    <t>15 - Year</t>
  </si>
  <si>
    <t>20 - Year</t>
  </si>
  <si>
    <r>
      <rPr>
        <sz val="10"/>
        <rFont val="Arial MT"/>
        <family val="2"/>
      </rPr>
      <t>49th - Regular (3rd Re-Opening)</t>
    </r>
  </si>
  <si>
    <r>
      <rPr>
        <sz val="10"/>
        <rFont val="Arial MT"/>
        <family val="2"/>
      </rPr>
      <t>December 12, 2019</t>
    </r>
  </si>
  <si>
    <t>30 - Year</t>
  </si>
  <si>
    <r>
      <rPr>
        <sz val="10"/>
        <rFont val="Arial MT"/>
        <family val="2"/>
      </rPr>
      <t>49th - Regular (4th Re-Opening)</t>
    </r>
  </si>
  <si>
    <r>
      <rPr>
        <sz val="10"/>
        <rFont val="Arial MT"/>
        <family val="2"/>
      </rPr>
      <t>January 9, 2020</t>
    </r>
  </si>
  <si>
    <r>
      <rPr>
        <sz val="10"/>
        <rFont val="Arial MT"/>
        <family val="2"/>
      </rPr>
      <t>49th - Regular (5th Re-Opening)</t>
    </r>
  </si>
  <si>
    <r>
      <rPr>
        <sz val="10"/>
        <rFont val="Arial MT"/>
        <family val="2"/>
      </rPr>
      <t>February 6, 2020</t>
    </r>
  </si>
  <si>
    <r>
      <rPr>
        <sz val="10"/>
        <rFont val="Arial MT"/>
        <family val="2"/>
      </rPr>
      <t>49th - Regular (6th Re-Opening)</t>
    </r>
  </si>
  <si>
    <r>
      <rPr>
        <sz val="10"/>
        <rFont val="Arial MT"/>
        <family val="2"/>
      </rPr>
      <t>March 5, 2020</t>
    </r>
  </si>
  <si>
    <r>
      <rPr>
        <sz val="10"/>
        <rFont val="Arial MT"/>
        <family val="2"/>
      </rPr>
      <t xml:space="preserve">49th,50th - Regular
</t>
    </r>
    <r>
      <rPr>
        <sz val="10"/>
        <rFont val="Arial MT"/>
        <family val="2"/>
      </rPr>
      <t>(7th Re-Opening of 3,5,10,20Y Fresh Issue 15Y)</t>
    </r>
  </si>
  <si>
    <r>
      <rPr>
        <sz val="10"/>
        <rFont val="Arial MT"/>
        <family val="2"/>
      </rPr>
      <t>April 16, 2020</t>
    </r>
  </si>
  <si>
    <r>
      <rPr>
        <sz val="10"/>
        <rFont val="Arial MT"/>
        <family val="2"/>
      </rPr>
      <t>15 - Year</t>
    </r>
  </si>
  <si>
    <r>
      <rPr>
        <sz val="10"/>
        <rFont val="Arial MT"/>
        <family val="2"/>
      </rPr>
      <t xml:space="preserve">49th,50th - Regular
</t>
    </r>
    <r>
      <rPr>
        <sz val="10"/>
        <rFont val="Arial MT"/>
        <family val="2"/>
      </rPr>
      <t>(8th Re-Opening of 3,5,10,20Y 1st Re-Opening of 15Y)</t>
    </r>
  </si>
  <si>
    <r>
      <rPr>
        <sz val="10"/>
        <rFont val="Arial MT"/>
        <family val="2"/>
      </rPr>
      <t>May 28, 2020</t>
    </r>
  </si>
  <si>
    <r>
      <rPr>
        <sz val="10"/>
        <rFont val="Arial MT"/>
        <family val="2"/>
      </rPr>
      <t xml:space="preserve">49th,50th - Regular
</t>
    </r>
    <r>
      <rPr>
        <sz val="10"/>
        <rFont val="Arial MT"/>
        <family val="2"/>
      </rPr>
      <t>(9th Re-Opening of 3,5,10,20Y 2nd Re-Opening of 15Y)</t>
    </r>
  </si>
  <si>
    <r>
      <rPr>
        <sz val="10"/>
        <rFont val="Arial MT"/>
        <family val="2"/>
      </rPr>
      <t>June 25, 2020</t>
    </r>
  </si>
  <si>
    <r>
      <rPr>
        <sz val="10"/>
        <rFont val="Arial MT"/>
        <family val="2"/>
      </rPr>
      <t xml:space="preserve">49th,50th - Regular
</t>
    </r>
    <r>
      <rPr>
        <sz val="10"/>
        <rFont val="Arial MT"/>
        <family val="2"/>
      </rPr>
      <t>(10th Re-Opening of 3,5,10,20Y 3rd Re-Opening of 15Y)</t>
    </r>
  </si>
  <si>
    <r>
      <rPr>
        <sz val="10"/>
        <rFont val="Arial MT"/>
        <family val="2"/>
      </rPr>
      <t>July 22, 2020</t>
    </r>
  </si>
  <si>
    <r>
      <rPr>
        <sz val="10"/>
        <rFont val="Arial MT"/>
        <family val="2"/>
      </rPr>
      <t xml:space="preserve">49th,50th,51st - Regular
</t>
    </r>
    <r>
      <rPr>
        <sz val="10"/>
        <rFont val="Arial MT"/>
        <family val="2"/>
      </rPr>
      <t>(3 Year Fresh,11th Re-Opening of 5,10,20Y 4th Re-Opening of 15Y)</t>
    </r>
  </si>
  <si>
    <r>
      <rPr>
        <sz val="10"/>
        <rFont val="Arial MT"/>
        <family val="2"/>
      </rPr>
      <t>August 20, 2020</t>
    </r>
  </si>
  <si>
    <r>
      <rPr>
        <sz val="10"/>
        <rFont val="Arial MT"/>
        <family val="2"/>
      </rPr>
      <t xml:space="preserve">49th,50th,51st - Regular
</t>
    </r>
    <r>
      <rPr>
        <sz val="10"/>
        <rFont val="Arial MT"/>
        <family val="2"/>
      </rPr>
      <t>(3 Year 1st,12th Re-Opening of 5,10,20Y and 5th Re-Opening of 15Y)</t>
    </r>
  </si>
  <si>
    <r>
      <rPr>
        <sz val="10"/>
        <rFont val="Arial MT"/>
        <family val="2"/>
      </rPr>
      <t>September 17, 2020</t>
    </r>
  </si>
  <si>
    <r>
      <rPr>
        <sz val="10"/>
        <rFont val="Arial MT"/>
        <family val="2"/>
      </rPr>
      <t xml:space="preserve">49th,50th,51st,52nd - Regular (3 Year 2nd,5 Year fresh, 13th Re-
</t>
    </r>
    <r>
      <rPr>
        <sz val="10"/>
        <rFont val="Arial MT"/>
        <family val="2"/>
      </rPr>
      <t>Opening of 10,20Y and 6th Re- Opening of 15Y)</t>
    </r>
  </si>
  <si>
    <r>
      <rPr>
        <sz val="10"/>
        <rFont val="Arial MT"/>
        <family val="2"/>
      </rPr>
      <t>October 15, 2020</t>
    </r>
  </si>
  <si>
    <r>
      <rPr>
        <sz val="10"/>
        <rFont val="Arial MT"/>
        <family val="2"/>
      </rPr>
      <t>49th,50th,51st,52nd - Regular (3 Year 3rd,5 Year 1st, 14th Re- Opening of 10,20Y and 7th Re- Opening of 15Y)</t>
    </r>
  </si>
  <si>
    <r>
      <rPr>
        <sz val="10"/>
        <rFont val="Arial MT"/>
        <family val="2"/>
      </rPr>
      <t>November 12, 2020</t>
    </r>
  </si>
  <si>
    <r>
      <rPr>
        <sz val="10"/>
        <rFont val="Arial MT"/>
        <family val="2"/>
      </rPr>
      <t>49th,50th,51st,52nd,53rd - Regular (3 Year 4th,5 Year 2nd, 10 Year Fresh,20Y 15th and 8th Re- Opening of 15Y)</t>
    </r>
  </si>
  <si>
    <r>
      <rPr>
        <sz val="10"/>
        <rFont val="Arial MT"/>
        <family val="2"/>
      </rPr>
      <t>December 10, 2020</t>
    </r>
  </si>
  <si>
    <r>
      <rPr>
        <sz val="10"/>
        <rFont val="Arial MT"/>
        <family val="2"/>
      </rPr>
      <t xml:space="preserve">49th,50th,51st,52nd,53rd,54th -
</t>
    </r>
    <r>
      <rPr>
        <sz val="10"/>
        <rFont val="Arial MT"/>
        <family val="2"/>
      </rPr>
      <t xml:space="preserve">Regular
</t>
    </r>
    <r>
      <rPr>
        <sz val="10"/>
        <rFont val="Arial MT"/>
        <family val="2"/>
      </rPr>
      <t>(3 Year 5th,5 Year 3rd, 10 Year 1st,20Y 16th,15Y 9th and 30 Year Fresh)</t>
    </r>
  </si>
  <si>
    <r>
      <rPr>
        <sz val="10"/>
        <rFont val="Arial MT"/>
        <family val="2"/>
      </rPr>
      <t>January 7, 2021</t>
    </r>
  </si>
  <si>
    <r>
      <rPr>
        <sz val="10"/>
        <rFont val="Arial MT"/>
        <family val="2"/>
      </rPr>
      <t>30 - Year</t>
    </r>
  </si>
  <si>
    <r>
      <rPr>
        <sz val="10"/>
        <rFont val="Arial MT"/>
        <family val="2"/>
      </rPr>
      <t>No Bids Received</t>
    </r>
  </si>
  <si>
    <r>
      <rPr>
        <sz val="10"/>
        <rFont val="Arial MT"/>
        <family val="2"/>
      </rPr>
      <t xml:space="preserve">49th,50th,51st,52nd,53rd,54th -
</t>
    </r>
    <r>
      <rPr>
        <sz val="10"/>
        <rFont val="Arial MT"/>
        <family val="2"/>
      </rPr>
      <t xml:space="preserve">Regular
</t>
    </r>
    <r>
      <rPr>
        <sz val="10"/>
        <rFont val="Arial MT"/>
        <family val="2"/>
      </rPr>
      <t>(3 Year 6th,5 Year 4th, 10 Year 2nd,20Y 17th,15Y 10th and 30 1st Reopening)</t>
    </r>
  </si>
  <si>
    <r>
      <rPr>
        <sz val="10"/>
        <rFont val="Arial MT"/>
        <family val="2"/>
      </rPr>
      <t>February 4, 2021</t>
    </r>
  </si>
  <si>
    <r>
      <rPr>
        <sz val="10"/>
        <rFont val="Arial MT"/>
        <family val="2"/>
      </rPr>
      <t xml:space="preserve">49th,50th,51st,52nd,53rd,54th -
</t>
    </r>
    <r>
      <rPr>
        <sz val="10"/>
        <rFont val="Arial MT"/>
        <family val="2"/>
      </rPr>
      <t xml:space="preserve">Regular
</t>
    </r>
    <r>
      <rPr>
        <sz val="10"/>
        <rFont val="Arial MT"/>
        <family val="2"/>
      </rPr>
      <t>(3 Year 7th,5 Year 5th, 10 Year 3rd,20Y 18th,15Y 11th and 30 2nd Reopening)</t>
    </r>
  </si>
  <si>
    <r>
      <rPr>
        <sz val="10"/>
        <rFont val="Arial MT"/>
        <family val="2"/>
      </rPr>
      <t>March 4, 2021</t>
    </r>
  </si>
  <si>
    <r>
      <rPr>
        <sz val="10"/>
        <rFont val="Arial MT"/>
        <family val="2"/>
      </rPr>
      <t xml:space="preserve">49th,50th,51st,52nd,53rd,54th -
</t>
    </r>
    <r>
      <rPr>
        <sz val="10"/>
        <rFont val="Arial MT"/>
        <family val="2"/>
      </rPr>
      <t xml:space="preserve">Regular
</t>
    </r>
    <r>
      <rPr>
        <sz val="10"/>
        <rFont val="Arial MT"/>
        <family val="2"/>
      </rPr>
      <t>(3 Year 8th,5 Year 6th, 10 Year 4th,20Y 19th,15Y 12th and 30 3rd Reopening)</t>
    </r>
  </si>
  <si>
    <r>
      <rPr>
        <sz val="10"/>
        <rFont val="Arial MT"/>
        <family val="2"/>
      </rPr>
      <t>April 16, 2021</t>
    </r>
  </si>
  <si>
    <r>
      <rPr>
        <sz val="10"/>
        <rFont val="Arial MT"/>
        <family val="2"/>
      </rPr>
      <t xml:space="preserve">49th,50th,51st,52nd,53rd,54th -
</t>
    </r>
    <r>
      <rPr>
        <sz val="10"/>
        <rFont val="Arial MT"/>
        <family val="2"/>
      </rPr>
      <t xml:space="preserve">Regular
</t>
    </r>
    <r>
      <rPr>
        <sz val="10"/>
        <rFont val="Arial MT"/>
        <family val="2"/>
      </rPr>
      <t>(3 Year 9th,5 Year 7th, 10 Year 5th,20Y 20th,15Y 13th and 30 4th Reopening)</t>
    </r>
  </si>
  <si>
    <r>
      <rPr>
        <sz val="10"/>
        <rFont val="Arial MT"/>
        <family val="2"/>
      </rPr>
      <t>May 7, 2021</t>
    </r>
  </si>
  <si>
    <r>
      <rPr>
        <sz val="10"/>
        <rFont val="Arial MT"/>
        <family val="2"/>
      </rPr>
      <t xml:space="preserve">49th,50th,51st,52nd,53rd,54th -
</t>
    </r>
    <r>
      <rPr>
        <sz val="10"/>
        <rFont val="Arial MT"/>
        <family val="2"/>
      </rPr>
      <t xml:space="preserve">Regular
</t>
    </r>
    <r>
      <rPr>
        <sz val="10"/>
        <rFont val="Arial MT"/>
        <family val="2"/>
      </rPr>
      <t>(3 Year 10th,5 Year 8th, 10 Year 6th,20Y 21st,15Y 14th and 30 5th Reopening)</t>
    </r>
  </si>
  <si>
    <r>
      <rPr>
        <sz val="10"/>
        <rFont val="Arial MT"/>
        <family val="2"/>
      </rPr>
      <t>June 10, 2021</t>
    </r>
  </si>
  <si>
    <r>
      <rPr>
        <sz val="10"/>
        <rFont val="Arial MT"/>
        <family val="2"/>
      </rPr>
      <t xml:space="preserve">49th,50th,51st,52nd,53rd,54th -
</t>
    </r>
    <r>
      <rPr>
        <sz val="10"/>
        <rFont val="Arial MT"/>
        <family val="2"/>
      </rPr>
      <t xml:space="preserve">Regular
</t>
    </r>
    <r>
      <rPr>
        <sz val="10"/>
        <rFont val="Arial MT"/>
        <family val="2"/>
      </rPr>
      <t>(3 Year 11th,5 Year 9th, 10 Year 7th,20Y 22nd,15Y 15th and 30 6th Reopening)</t>
    </r>
  </si>
  <si>
    <r>
      <rPr>
        <sz val="10"/>
        <rFont val="Arial MT"/>
        <family val="2"/>
      </rPr>
      <t>July 8, 2021</t>
    </r>
  </si>
  <si>
    <r>
      <rPr>
        <sz val="10"/>
        <rFont val="Arial MT"/>
        <family val="2"/>
      </rPr>
      <t>BIDS REJECTED</t>
    </r>
  </si>
  <si>
    <r>
      <rPr>
        <sz val="10"/>
        <rFont val="Arial MT"/>
        <family val="2"/>
      </rPr>
      <t>NO BID RECEIVED</t>
    </r>
  </si>
  <si>
    <r>
      <rPr>
        <sz val="10"/>
        <rFont val="Arial MT"/>
        <family val="2"/>
      </rPr>
      <t xml:space="preserve">49th,50th,52nd,53rd,54th,55th -
</t>
    </r>
    <r>
      <rPr>
        <sz val="10"/>
        <rFont val="Arial MT"/>
        <family val="2"/>
      </rPr>
      <t xml:space="preserve">Regular
</t>
    </r>
    <r>
      <rPr>
        <sz val="10"/>
        <rFont val="Arial MT"/>
        <family val="2"/>
      </rPr>
      <t>(3 Year Fresh, 5 Year 10th, 10 Year 8th,20Y 23rd,15Y 16th and 30 Y 7th Reopening)</t>
    </r>
  </si>
  <si>
    <r>
      <rPr>
        <sz val="10"/>
        <rFont val="Arial MT"/>
        <family val="2"/>
      </rPr>
      <t>August 5, 2021</t>
    </r>
  </si>
  <si>
    <r>
      <rPr>
        <sz val="10"/>
        <rFont val="Arial MT"/>
        <family val="2"/>
      </rPr>
      <t xml:space="preserve">49th,50th,52nd,53rd,54th,55th -
</t>
    </r>
    <r>
      <rPr>
        <sz val="10"/>
        <rFont val="Arial MT"/>
        <family val="2"/>
      </rPr>
      <t xml:space="preserve">Regular
</t>
    </r>
    <r>
      <rPr>
        <sz val="10"/>
        <rFont val="Arial MT"/>
        <family val="2"/>
      </rPr>
      <t>(3 Year 1st, 5 Year 11th, 10 Year 9th,20 Year 24th,15 Year 17th and 30 Year 8th Reopening)</t>
    </r>
  </si>
  <si>
    <r>
      <rPr>
        <sz val="10"/>
        <rFont val="Arial MT"/>
        <family val="2"/>
      </rPr>
      <t>September 16, 2021</t>
    </r>
  </si>
  <si>
    <r>
      <rPr>
        <sz val="10"/>
        <rFont val="Arial MT"/>
        <family val="2"/>
      </rPr>
      <t>55th, 52nd, 53rd, 50th, 49th, 54th - Regular (3 Year 2nd, 5 Year 12th, 10 Year 10th, 20 Year 25th, 15 Year 18th and 30 Year 9th Reopening)</t>
    </r>
  </si>
  <si>
    <r>
      <rPr>
        <sz val="10"/>
        <rFont val="Arial MT"/>
        <family val="2"/>
      </rPr>
      <t>October 27, 2021</t>
    </r>
  </si>
  <si>
    <r>
      <rPr>
        <sz val="10"/>
        <rFont val="Arial MT"/>
        <family val="2"/>
      </rPr>
      <t>55th, 52nd, 53rd, 50th, 49th, 54th - Regular (3Y 3rd, 5Y 13th, 10Y 11th, 15Y 19th, 20Y 26th  and 30Y 10th Reopening)</t>
    </r>
  </si>
  <si>
    <r>
      <rPr>
        <sz val="10"/>
        <rFont val="Arial MT"/>
        <family val="2"/>
      </rPr>
      <t>November 29, 2021</t>
    </r>
  </si>
  <si>
    <r>
      <rPr>
        <sz val="10"/>
        <rFont val="Arial MT"/>
        <family val="2"/>
      </rPr>
      <t>55th, 52nd, 53rd, 50th, 49th, 54th - Regular (3Y 4th, 5Y 14th, 10Y 12th, 15Y 20th, 20Y 27th  and 30Y 11th Reopening)</t>
    </r>
  </si>
  <si>
    <r>
      <rPr>
        <sz val="10"/>
        <rFont val="Arial MT"/>
        <family val="2"/>
      </rPr>
      <t>December 23, 2021</t>
    </r>
  </si>
  <si>
    <r>
      <rPr>
        <sz val="10"/>
        <rFont val="Arial MT"/>
        <family val="2"/>
      </rPr>
      <t>55th, 52nd, 53rd, 50th, 49th, 54th - Regular (3Y 5th, 5Y 15th, 10Y 13th, 15Y 21st, 20Y 28th  and 30Y 12th Reopening)</t>
    </r>
  </si>
  <si>
    <r>
      <rPr>
        <sz val="10"/>
        <rFont val="Arial MT"/>
        <family val="2"/>
      </rPr>
      <t>January 28, 2022</t>
    </r>
  </si>
  <si>
    <r>
      <rPr>
        <sz val="10"/>
        <rFont val="Arial MT"/>
        <family val="2"/>
      </rPr>
      <t>55th, 52nd, 53rd, 50th, 49th, 54th - Regular (3Y 6th, 5Y 16th, 10Y 14th, 15Y 22nd, 20Y 29th  and 30Y 13th Reopening)</t>
    </r>
  </si>
  <si>
    <r>
      <rPr>
        <sz val="10"/>
        <rFont val="Arial MT"/>
        <family val="2"/>
      </rPr>
      <t>February 17, 2022</t>
    </r>
  </si>
  <si>
    <r>
      <rPr>
        <sz val="10"/>
        <rFont val="Arial MT"/>
        <family val="2"/>
      </rPr>
      <t>55th, 52nd, 53rd, 50th, 49th, 54th - Regular (3Y 7th, 5Y 17th, 10Y 15th, 15Y 23rd, 20Y 30th  and 30Y 14th Reopening)</t>
    </r>
  </si>
  <si>
    <r>
      <rPr>
        <sz val="10"/>
        <rFont val="Arial MT"/>
        <family val="2"/>
      </rPr>
      <t>March 17, 2022</t>
    </r>
  </si>
  <si>
    <r>
      <rPr>
        <sz val="10"/>
        <rFont val="Arial MT"/>
        <family val="2"/>
      </rPr>
      <t>55th, 53rd, 53rd, 50th, 49th, 54th - Regular (3Y 8th, 5Y Fresh, 10Y 16th, 15Y 24th, 20Y 31st and 30Y 15th Reopening)</t>
    </r>
  </si>
  <si>
    <r>
      <rPr>
        <sz val="10"/>
        <rFont val="Arial MT"/>
        <family val="2"/>
      </rPr>
      <t>April 29, 2022</t>
    </r>
  </si>
  <si>
    <r>
      <rPr>
        <sz val="10"/>
        <rFont val="Arial MT"/>
        <family val="2"/>
      </rPr>
      <t>55th, 53rd, 53rd, 50th, 49th, 54th - Regular (3Y 9th, 5Y 1st, 10Y 17th, 15Y 25th, 20Y 32nd and 30Y 16th Reopening)</t>
    </r>
  </si>
  <si>
    <r>
      <rPr>
        <sz val="10"/>
        <rFont val="Arial MT"/>
        <family val="2"/>
      </rPr>
      <t>May 26, 2022</t>
    </r>
  </si>
  <si>
    <r>
      <rPr>
        <sz val="10"/>
        <rFont val="Arial MT"/>
        <family val="2"/>
      </rPr>
      <t>55th, 53rd, 53rd, 50th, 49th, 54th - Regular (3Y 10th, 5Y 2nd, 10Y 18th, 15Y 26th, 20Y 33rd and 30Y 17th Reopening)</t>
    </r>
  </si>
  <si>
    <r>
      <rPr>
        <sz val="10"/>
        <rFont val="Arial MT"/>
        <family val="2"/>
      </rPr>
      <t>June 23, 2022</t>
    </r>
  </si>
  <si>
    <r>
      <rPr>
        <sz val="10"/>
        <rFont val="Arial MT"/>
        <family val="2"/>
      </rPr>
      <t>55th, 53rd, 53rd, 50th, 49th, 54th - Regular (3Y 11th, 5Y 3rd, 10Y 19th, 15Y 27th, 20Y 34th and 30Y 18th Reopening)</t>
    </r>
  </si>
  <si>
    <r>
      <rPr>
        <sz val="10"/>
        <rFont val="Arial MT"/>
        <family val="2"/>
      </rPr>
      <t>July 15, 2022</t>
    </r>
  </si>
  <si>
    <r>
      <rPr>
        <sz val="10"/>
        <rFont val="Arial MT"/>
        <family val="2"/>
      </rPr>
      <t>56th, 53rd, 53rd, 50th, 49th, 54th - Regular (3Y Fresh, 5Y 4th, 10Y 20th, 15Y 28th, 20Y 35th and 30Y</t>
    </r>
  </si>
  <si>
    <r>
      <rPr>
        <sz val="10"/>
        <rFont val="Arial MT"/>
        <family val="2"/>
      </rPr>
      <t>August 4, 2022</t>
    </r>
  </si>
  <si>
    <r>
      <rPr>
        <sz val="10"/>
        <rFont val="Arial MT"/>
        <family val="2"/>
      </rPr>
      <t>19th Reopening)</t>
    </r>
  </si>
  <si>
    <r>
      <rPr>
        <sz val="10"/>
        <rFont val="Arial MT"/>
        <family val="2"/>
      </rPr>
      <t>56th, 53rd, 53rd, 50th, 49th, 54th - Regular (3Y 1st, 5Y 5th, 10Y 21st, 15Y 29th, 20Y 36th and 30Y 20th Reopening)</t>
    </r>
  </si>
  <si>
    <r>
      <rPr>
        <sz val="10"/>
        <rFont val="Arial MT"/>
        <family val="2"/>
      </rPr>
      <t>September 15, 2022</t>
    </r>
  </si>
  <si>
    <r>
      <rPr>
        <sz val="10"/>
        <rFont val="Arial MT"/>
        <family val="2"/>
      </rPr>
      <t>56th, 54th, 53rd, 50th, 49th, 54th - Regular (3Y 2nd, 5Y Fresh, 10Y 22nd, 15Y 30th, 20Y 37th and 30Y 21st Reopening)</t>
    </r>
  </si>
  <si>
    <r>
      <rPr>
        <sz val="10"/>
        <rFont val="Arial MT"/>
        <family val="2"/>
      </rPr>
      <t>October 13, 2022</t>
    </r>
  </si>
  <si>
    <r>
      <rPr>
        <sz val="10"/>
        <rFont val="Arial MT"/>
        <family val="2"/>
      </rPr>
      <t>56th, 54th, 54th, 50th, 49th, 54th - Regular (3Y 3rd, 5Y 1st, 10Y Fresh, 15Y 31st, 20Y 38th and 30Y 22nd Reopening)</t>
    </r>
  </si>
  <si>
    <r>
      <rPr>
        <sz val="10"/>
        <rFont val="Arial MT"/>
        <family val="2"/>
      </rPr>
      <t>November 30, 2022</t>
    </r>
  </si>
  <si>
    <r>
      <rPr>
        <sz val="10"/>
        <rFont val="Arial MT"/>
        <family val="2"/>
      </rPr>
      <t>56th, 54th, 54th, 50th, 49th, 54th - Regular (3Y 4th, 5Y 2nd, 10Y 1st, 15Y 32nd, 20Y 39th and 30Y 23rd Reopening)</t>
    </r>
  </si>
  <si>
    <r>
      <rPr>
        <sz val="10"/>
        <rFont val="Arial MT"/>
        <family val="2"/>
      </rPr>
      <t>December 22, 2022</t>
    </r>
  </si>
  <si>
    <r>
      <rPr>
        <sz val="10"/>
        <rFont val="Arial MT"/>
        <family val="2"/>
      </rPr>
      <t>56th, 54th, 54th, 50th, 49th, 54th - Regular (3Y 5th, 5Y 3rd, 10Y 2nd, 15Y 33rd, 20Y 40th and 30Y 24th Reopening)</t>
    </r>
  </si>
  <si>
    <r>
      <rPr>
        <sz val="10"/>
        <rFont val="Arial MT"/>
        <family val="2"/>
      </rPr>
      <t>January 19, 2023</t>
    </r>
  </si>
  <si>
    <r>
      <rPr>
        <sz val="10"/>
        <rFont val="Arial MT"/>
        <family val="2"/>
      </rPr>
      <t>56th, 54th, 54th, 50th, 49th, 54th - Regular (3Y 6th, 5Y 4th, 10Y 3rd, 15Y 34th, 20Y 41st and 30Y 25th Reopening)</t>
    </r>
  </si>
  <si>
    <r>
      <rPr>
        <sz val="10"/>
        <rFont val="Arial MT"/>
        <family val="2"/>
      </rPr>
      <t>February 16, 2023</t>
    </r>
  </si>
  <si>
    <r>
      <rPr>
        <sz val="10"/>
        <rFont val="Arial MT"/>
        <family val="2"/>
      </rPr>
      <t>56th, 54th, 54th, 50th, 49th, 54th - Regular (3Y 7th, 5Y 5th, 10Y 4th, 15Y 35th, 20Y 42nd and 30Y 26th Reopening)</t>
    </r>
  </si>
  <si>
    <r>
      <rPr>
        <sz val="10"/>
        <rFont val="Arial MT"/>
        <family val="2"/>
      </rPr>
      <t>March 16, 2023</t>
    </r>
  </si>
  <si>
    <r>
      <rPr>
        <sz val="10"/>
        <rFont val="Arial MT"/>
        <family val="2"/>
      </rPr>
      <t>56th, 54th, 54th, 50th, 49th, 54th - Regular (3Y 8th, 5Y 6th, 10Y 5th, 15Y 36th, 20Y 43rd and 30Y 27th Reopening)</t>
    </r>
  </si>
  <si>
    <r>
      <rPr>
        <sz val="10"/>
        <rFont val="Arial MT"/>
        <family val="2"/>
      </rPr>
      <t>April 13, 2023</t>
    </r>
  </si>
  <si>
    <r>
      <rPr>
        <sz val="10"/>
        <rFont val="Arial MT"/>
        <family val="2"/>
      </rPr>
      <t>56th, 54th, 54th, 50th, 49th, 54th - Regular (3Y 9th, 5Y 7th, 10Y 6th, 15Y 37th, 20Y 44th and 30Y 28th Reopening)</t>
    </r>
  </si>
  <si>
    <r>
      <rPr>
        <sz val="10"/>
        <rFont val="Arial MT"/>
        <family val="2"/>
      </rPr>
      <t>May 11, 2023</t>
    </r>
  </si>
  <si>
    <r>
      <rPr>
        <sz val="10"/>
        <rFont val="Arial MT"/>
        <family val="2"/>
      </rPr>
      <t>56th, 54th, 54th, 50th, 49th, 54th - Regular (3Y 10th, 5Y 8th, 10Y 7th, 15Y 38th, 20Y 45th and 30Y 29th Reopening)</t>
    </r>
  </si>
  <si>
    <r>
      <rPr>
        <sz val="10"/>
        <rFont val="Arial MT"/>
        <family val="2"/>
      </rPr>
      <t>June 16, 2023</t>
    </r>
  </si>
  <si>
    <r>
      <rPr>
        <sz val="10"/>
        <rFont val="Arial MT"/>
        <family val="2"/>
      </rPr>
      <t>57th, 54th, 54th, 50th, 49th, 54th -</t>
    </r>
  </si>
  <si>
    <r>
      <rPr>
        <sz val="10"/>
        <rFont val="Arial MT"/>
        <family val="2"/>
      </rPr>
      <t>Regular (3Y Fresh, 5Y 9th, 10Y 8th, 15Y 39th, 20Y 46th and 30Y 30th Reopening)</t>
    </r>
  </si>
  <si>
    <r>
      <rPr>
        <sz val="10"/>
        <rFont val="Arial MT"/>
        <family val="2"/>
      </rPr>
      <t>July 4, 2023</t>
    </r>
  </si>
  <si>
    <r>
      <rPr>
        <sz val="10"/>
        <rFont val="Arial MT"/>
        <family val="2"/>
      </rPr>
      <t>57th, 54th, 54th, 50th, 49th, 54th - Regular (3Y 1st, 5Y 10th, 10Y 9th, 15Y 40th, 20Y 47th and 30Y 31st Reopening)</t>
    </r>
  </si>
  <si>
    <r>
      <rPr>
        <sz val="10"/>
        <rFont val="Arial MT"/>
        <family val="2"/>
      </rPr>
      <t>August 3, 2023</t>
    </r>
  </si>
  <si>
    <r>
      <rPr>
        <sz val="10"/>
        <rFont val="Arial MT"/>
        <family val="2"/>
      </rPr>
      <t>57th, 54th, 54th, 50th, 49th, 54th - Regular (3Y 2nd, 5Y 11th, 10Y 10th, 15Y 41st, 20Y 48th and 30Y 32nd Reopening)</t>
    </r>
  </si>
  <si>
    <r>
      <rPr>
        <sz val="10"/>
        <rFont val="Arial MT"/>
        <family val="2"/>
      </rPr>
      <t>September 19, 2023</t>
    </r>
  </si>
  <si>
    <r>
      <rPr>
        <sz val="10"/>
        <rFont val="Arial MT"/>
        <family val="2"/>
      </rPr>
      <t>57th, 54th, 54th, 50th, 49th, 54th - Regular (3Y 3rd, 5Y 12th, 10Y 11th, 15Y 42nd, 20Y 49th and 30Y 33rd Reopening)</t>
    </r>
  </si>
  <si>
    <r>
      <rPr>
        <sz val="10"/>
        <rFont val="Arial MT"/>
        <family val="2"/>
      </rPr>
      <t>October 3, 2023</t>
    </r>
  </si>
  <si>
    <r>
      <rPr>
        <sz val="10"/>
        <rFont val="Arial MT"/>
        <family val="2"/>
      </rPr>
      <t>57th, 54th, 55th, 50th, 49th, 54th - Regular (3Y 4th, 5Y 13th, 10Y Fresh, 15Y 43rd, 20Y 50th and 30Y 34th Reopening)</t>
    </r>
  </si>
  <si>
    <r>
      <rPr>
        <sz val="10"/>
        <rFont val="Arial MT"/>
        <family val="2"/>
      </rPr>
      <t>November 10, 2023</t>
    </r>
  </si>
  <si>
    <r>
      <rPr>
        <sz val="10"/>
        <rFont val="Arial MT"/>
        <family val="2"/>
      </rPr>
      <t>57th, 54th, 55th, 50th, 49th, 54th - Regular (3Y 5th, 5Y 14th, 10Y 1st, 15Y 44th, 20Y 51st and 30Y 35th Reopening)</t>
    </r>
  </si>
  <si>
    <r>
      <rPr>
        <sz val="10"/>
        <rFont val="Arial MT"/>
        <family val="2"/>
      </rPr>
      <t>December 21, 2023</t>
    </r>
  </si>
  <si>
    <r>
      <rPr>
        <sz val="10"/>
        <rFont val="Arial MT"/>
        <family val="2"/>
      </rPr>
      <t>57th, 55th, 55th, 50th, 49th, 54th - Regular (3Y 6th, 5Y Fresh, 10Y 2nd, 15Y 45th, 20Y 52nd and 30Y 36th Reopening)</t>
    </r>
  </si>
  <si>
    <r>
      <rPr>
        <sz val="10"/>
        <rFont val="Arial MT"/>
        <family val="2"/>
      </rPr>
      <t>January 17, 2024</t>
    </r>
  </si>
  <si>
    <r>
      <rPr>
        <sz val="10"/>
        <rFont val="Arial MT"/>
        <family val="2"/>
      </rPr>
      <t>58th, 55th, 55th, 50th, 49th, 54th - Regular (3Y Fresh, 5Y 1st, 10Y 3rd, 15Y 46th, 20Y 53rd and 30Y 37th Reopening)</t>
    </r>
  </si>
  <si>
    <r>
      <rPr>
        <sz val="10"/>
        <rFont val="Arial MT"/>
        <family val="2"/>
      </rPr>
      <t>February 15, 2024</t>
    </r>
  </si>
  <si>
    <r>
      <rPr>
        <sz val="10"/>
        <rFont val="Arial MT"/>
        <family val="2"/>
      </rPr>
      <t>58th, 55th, 55th, 50th, 49th, 54th - Regular (3Y 1st, 5Y 2nd, 10Y 4th, 15Y 47th, 20Y 54th and 30Y 38th Reopening)</t>
    </r>
  </si>
  <si>
    <r>
      <rPr>
        <sz val="10"/>
        <rFont val="Arial MT"/>
        <family val="2"/>
      </rPr>
      <t>March 14, 2024</t>
    </r>
  </si>
  <si>
    <r>
      <rPr>
        <sz val="10"/>
        <rFont val="Arial MT"/>
        <family val="2"/>
      </rPr>
      <t>58th, 55th, 55th, 50th, 49th, 54th - Regular (3Y 2nd, 5Y 3rd, 10Y 5th, 15Y 48th, 20Y 55th and 30Y 39th Reopening)</t>
    </r>
  </si>
  <si>
    <r>
      <rPr>
        <sz val="10"/>
        <rFont val="Arial MT"/>
        <family val="2"/>
      </rPr>
      <t>April 17, 2024</t>
    </r>
  </si>
  <si>
    <r>
      <rPr>
        <sz val="10"/>
        <rFont val="Arial MT"/>
        <family val="2"/>
      </rPr>
      <t>58th, 55th, 55th, 50th, 49th, 54th - Regular (3Y 3rd, 5Y 4th, 10Y 6th, 15Y 49th, 20Y 56th and 30Y 40th Reopening)</t>
    </r>
  </si>
  <si>
    <r>
      <rPr>
        <sz val="10"/>
        <rFont val="Arial MT"/>
        <family val="2"/>
      </rPr>
      <t>May 23, 2024</t>
    </r>
  </si>
  <si>
    <r>
      <rPr>
        <sz val="11"/>
        <rFont val="Calibri"/>
        <family val="1"/>
      </rPr>
      <t>58th, 55th, 55th - Regular (3Y 4th, 5Y 5th and 10Y 7th Reopening)</t>
    </r>
  </si>
  <si>
    <r>
      <rPr>
        <sz val="11"/>
        <rFont val="Calibri"/>
        <family val="1"/>
      </rPr>
      <t>June 26, 2024</t>
    </r>
  </si>
  <si>
    <r>
      <rPr>
        <sz val="11"/>
        <rFont val="Calibri"/>
        <family val="1"/>
      </rPr>
      <t>3 - Year</t>
    </r>
  </si>
  <si>
    <t>try calculating weighted average of PIB of each tenor instead weighted average of each auction</t>
  </si>
  <si>
    <r>
      <rPr>
        <sz val="11"/>
        <rFont val="Calibri"/>
        <family val="1"/>
      </rPr>
      <t>5 - Year</t>
    </r>
  </si>
  <si>
    <r>
      <rPr>
        <sz val="11"/>
        <rFont val="Calibri"/>
        <family val="1"/>
      </rPr>
      <t>10 - Year</t>
    </r>
  </si>
  <si>
    <r>
      <rPr>
        <sz val="11"/>
        <rFont val="Calibri"/>
        <family val="1"/>
      </rPr>
      <t>58th, 55th, 55th - Regular (3Y 5th, 5Y 6th and 10Y 8th Reopening)</t>
    </r>
  </si>
  <si>
    <r>
      <rPr>
        <sz val="11"/>
        <rFont val="Calibri"/>
        <family val="1"/>
      </rPr>
      <t>July 10, 2024</t>
    </r>
  </si>
  <si>
    <r>
      <rPr>
        <sz val="11"/>
        <rFont val="Calibri"/>
        <family val="1"/>
      </rPr>
      <t>58th, 55th, 55th - Regular (3Y 6th, 5Y 7th and 10Y 9th Reopening)</t>
    </r>
  </si>
  <si>
    <r>
      <rPr>
        <sz val="11"/>
        <rFont val="Calibri"/>
        <family val="1"/>
      </rPr>
      <t>August 1, 2024</t>
    </r>
  </si>
  <si>
    <r>
      <rPr>
        <sz val="11"/>
        <rFont val="Calibri"/>
        <family val="1"/>
      </rPr>
      <t>59th, 60th, 61st, 62nd - Regular (2Y Fresh, 3Y Fresh, 5Y Fresh and 10Y Fresh)</t>
    </r>
  </si>
  <si>
    <r>
      <rPr>
        <sz val="11"/>
        <rFont val="Calibri"/>
        <family val="1"/>
      </rPr>
      <t>September 20, 2024</t>
    </r>
  </si>
  <si>
    <r>
      <rPr>
        <sz val="11"/>
        <rFont val="Calibri"/>
        <family val="1"/>
      </rPr>
      <t>2 - Year</t>
    </r>
  </si>
  <si>
    <r>
      <rPr>
        <sz val="11"/>
        <rFont val="Calibri"/>
        <family val="1"/>
      </rPr>
      <t>Zero</t>
    </r>
  </si>
  <si>
    <r>
      <rPr>
        <sz val="11"/>
        <rFont val="Calibri"/>
        <family val="1"/>
      </rPr>
      <t>59th, 60th, 61st, 62nd - Regular (2Y 1st, 3Y 1st, 5Y 1st and 10Y 1st RO)</t>
    </r>
  </si>
  <si>
    <r>
      <rPr>
        <sz val="11"/>
        <rFont val="Calibri"/>
        <family val="1"/>
      </rPr>
      <t>October 18, 2024</t>
    </r>
  </si>
  <si>
    <r>
      <rPr>
        <sz val="11"/>
        <rFont val="Calibri"/>
        <family val="1"/>
      </rPr>
      <t>59th, 60th, 61st, 62nd - Regular (2Y 2nd, 3Y 2nd, 5Y 2nd and 10Y 2nd RO)</t>
    </r>
  </si>
  <si>
    <r>
      <rPr>
        <sz val="11"/>
        <rFont val="Calibri"/>
        <family val="1"/>
      </rPr>
      <t>November 21, 2024</t>
    </r>
  </si>
  <si>
    <r>
      <rPr>
        <sz val="11"/>
        <rFont val="Calibri"/>
        <family val="1"/>
      </rPr>
      <t>59th, 60th, 61st, 62nd - Regular (2Y 3rd, 3Y 3rd, 5Y 3rd and 10Y 3rd RO)</t>
    </r>
  </si>
  <si>
    <r>
      <rPr>
        <sz val="11"/>
        <rFont val="Calibri"/>
        <family val="1"/>
      </rPr>
      <t>December 19, 2024</t>
    </r>
  </si>
  <si>
    <r>
      <rPr>
        <sz val="11"/>
        <rFont val="Calibri"/>
        <family val="1"/>
      </rPr>
      <t>63rd, 64th, 65th, 66th, 67th - Regular (2Y Fresh, 3Y Fresh, 5Y Fresh, 10Y Fresh and 15Y Fresh)</t>
    </r>
  </si>
  <si>
    <r>
      <rPr>
        <sz val="11"/>
        <rFont val="Calibri"/>
        <family val="1"/>
      </rPr>
      <t>January 16, 2025</t>
    </r>
  </si>
  <si>
    <r>
      <rPr>
        <sz val="11"/>
        <rFont val="Calibri"/>
        <family val="1"/>
      </rPr>
      <t>15 - Year</t>
    </r>
  </si>
  <si>
    <r>
      <rPr>
        <sz val="11"/>
        <rFont val="Calibri"/>
        <family val="1"/>
      </rPr>
      <t>-</t>
    </r>
  </si>
  <si>
    <r>
      <rPr>
        <sz val="11"/>
        <rFont val="Calibri"/>
        <family val="1"/>
      </rPr>
      <t>63rd, 64th, 65th, 66th, 67th - Regular (2Y 1st, 3Y 1st, 5Y 1st, 10Y 1st and 15Y 1st RO)</t>
    </r>
  </si>
  <si>
    <r>
      <rPr>
        <sz val="11"/>
        <rFont val="Calibri"/>
        <family val="1"/>
      </rPr>
      <t>February 13, 2025</t>
    </r>
  </si>
  <si>
    <r>
      <rPr>
        <sz val="11"/>
        <rFont val="Calibri"/>
        <family val="1"/>
      </rPr>
      <t>63rd, 64th, 65th, 66th, 67th - Regular (2Y 2nd, 3Y 2nd, 5Y 2nd, 10Y 2nd and 15Y 2nd RO)</t>
    </r>
  </si>
  <si>
    <r>
      <rPr>
        <sz val="11"/>
        <rFont val="Calibri"/>
        <family val="1"/>
      </rPr>
      <t>March 13, 2025</t>
    </r>
  </si>
  <si>
    <r>
      <rPr>
        <sz val="11"/>
        <rFont val="Calibri"/>
        <family val="1"/>
      </rPr>
      <t>63rd, 64th, 65th, 66th, 67th - Regular (2Y 3rd, 3Y 3rd, 5Y 3rd, 10Y 3rd and 15Y 3rd RO)</t>
    </r>
  </si>
  <si>
    <r>
      <rPr>
        <sz val="11"/>
        <rFont val="Calibri"/>
        <family val="1"/>
      </rPr>
      <t>April 10, 2025</t>
    </r>
  </si>
  <si>
    <r>
      <rPr>
        <sz val="11"/>
        <rFont val="Calibri"/>
        <family val="1"/>
      </rPr>
      <t>63rd, 64th, 65th, 66th, 67th - Regular (2Y 4th, 3Y 4th, 5Y 4th, 10Y 4th and 15Y 4th RO)</t>
    </r>
  </si>
  <si>
    <r>
      <rPr>
        <sz val="11"/>
        <rFont val="Calibri"/>
        <family val="1"/>
      </rPr>
      <t>May 8, 2025</t>
    </r>
  </si>
  <si>
    <r>
      <rPr>
        <sz val="11"/>
        <rFont val="Calibri"/>
        <family val="1"/>
      </rPr>
      <t>63rd, 64th, 65th, 66th, 68th - Regular (2Y 5th, 3Y 5th, 5Y 5th, 10Y 5th and 15Y Fresh)</t>
    </r>
  </si>
  <si>
    <r>
      <rPr>
        <sz val="11"/>
        <rFont val="Calibri"/>
        <family val="1"/>
      </rPr>
      <t>June 19, 2025</t>
    </r>
  </si>
  <si>
    <r>
      <rPr>
        <sz val="11"/>
        <rFont val="Calibri"/>
        <family val="1"/>
      </rPr>
      <t>69th, 70th, 71st, 72nd, 68th - Regular (2Y Fresh, 3Y Fresh, 5Y Fresh, 10Y Fresh and 15Y 1st RO)</t>
    </r>
  </si>
  <si>
    <r>
      <rPr>
        <sz val="11"/>
        <rFont val="Calibri"/>
        <family val="1"/>
      </rPr>
      <t>July 17, 2025</t>
    </r>
  </si>
  <si>
    <r>
      <rPr>
        <sz val="11"/>
        <rFont val="Calibri"/>
        <family val="1"/>
      </rPr>
      <t>BIDS REJECTED</t>
    </r>
  </si>
  <si>
    <r>
      <rPr>
        <sz val="11"/>
        <rFont val="Calibri"/>
        <family val="1"/>
      </rPr>
      <t>69th, 70th, 71st, 72nd, 68th - Regular (2Y 1st RO, 3Y 1st RO, 5Y 1st RO, 10Y 1st RO and 15Y 2nd RO)</t>
    </r>
  </si>
  <si>
    <r>
      <rPr>
        <sz val="11"/>
        <rFont val="Calibri"/>
        <family val="1"/>
      </rPr>
      <t>August 4, 2025</t>
    </r>
  </si>
  <si>
    <r>
      <rPr>
        <sz val="11"/>
        <rFont val="Calibri"/>
        <family val="1"/>
      </rPr>
      <t>69th, 70th, 71st, 72nd, 68th - Regular (2Y 2nd RO, 3Y 2nd RO, 5Y 2nd RO, 10Y 2nd RO and 15Y 3rd RO)</t>
    </r>
  </si>
  <si>
    <r>
      <rPr>
        <sz val="11"/>
        <rFont val="Calibri"/>
        <family val="1"/>
      </rPr>
      <t>September 8, 2025</t>
    </r>
  </si>
  <si>
    <r>
      <rPr>
        <b/>
        <sz val="7"/>
        <rFont val="Calibri"/>
        <family val="1"/>
      </rPr>
      <t>Auction Number</t>
    </r>
  </si>
  <si>
    <r>
      <rPr>
        <b/>
        <sz val="7"/>
        <rFont val="Calibri"/>
        <family val="1"/>
      </rPr>
      <t>Tenor</t>
    </r>
  </si>
  <si>
    <r>
      <rPr>
        <b/>
        <sz val="7"/>
        <rFont val="Calibri"/>
        <family val="1"/>
      </rPr>
      <t>Auction Date</t>
    </r>
  </si>
  <si>
    <r>
      <rPr>
        <b/>
        <sz val="7"/>
        <rFont val="Calibri"/>
        <family val="1"/>
      </rPr>
      <t>Settlement Date</t>
    </r>
  </si>
  <si>
    <r>
      <rPr>
        <b/>
        <sz val="7"/>
        <rFont val="Calibri"/>
        <family val="1"/>
      </rPr>
      <t>Issue Date</t>
    </r>
  </si>
  <si>
    <r>
      <rPr>
        <b/>
        <sz val="7"/>
        <rFont val="Calibri"/>
        <family val="1"/>
      </rPr>
      <t>Maturity Date</t>
    </r>
  </si>
  <si>
    <r>
      <rPr>
        <b/>
        <sz val="7"/>
        <rFont val="Calibri"/>
        <family val="1"/>
      </rPr>
      <t xml:space="preserve">Cut-off
</t>
    </r>
    <r>
      <rPr>
        <b/>
        <sz val="7"/>
        <rFont val="Calibri"/>
        <family val="1"/>
      </rPr>
      <t>Margin</t>
    </r>
    <r>
      <rPr>
        <b/>
        <vertAlign val="superscript"/>
        <sz val="7"/>
        <rFont val="Calibri"/>
        <family val="1"/>
      </rPr>
      <t>3</t>
    </r>
  </si>
  <si>
    <r>
      <rPr>
        <b/>
        <sz val="7"/>
        <rFont val="Calibri"/>
        <family val="1"/>
      </rPr>
      <t>Rental Rate</t>
    </r>
  </si>
  <si>
    <r>
      <rPr>
        <b/>
        <sz val="7"/>
        <rFont val="Calibri"/>
        <family val="1"/>
      </rPr>
      <t>1st</t>
    </r>
  </si>
  <si>
    <r>
      <rPr>
        <b/>
        <sz val="7"/>
        <rFont val="Calibri"/>
        <family val="1"/>
      </rPr>
      <t>2nd</t>
    </r>
  </si>
  <si>
    <r>
      <rPr>
        <b/>
        <sz val="7"/>
        <rFont val="Calibri"/>
        <family val="1"/>
      </rPr>
      <t>3rd</t>
    </r>
  </si>
  <si>
    <r>
      <rPr>
        <b/>
        <sz val="7"/>
        <rFont val="Calibri"/>
        <family val="1"/>
      </rPr>
      <t>4th</t>
    </r>
  </si>
  <si>
    <r>
      <rPr>
        <b/>
        <sz val="7"/>
        <rFont val="Calibri"/>
        <family val="1"/>
      </rPr>
      <t>5th</t>
    </r>
  </si>
  <si>
    <r>
      <rPr>
        <b/>
        <sz val="7"/>
        <rFont val="Calibri"/>
        <family val="1"/>
      </rPr>
      <t>6th</t>
    </r>
  </si>
  <si>
    <r>
      <rPr>
        <b/>
        <sz val="7"/>
        <rFont val="Calibri"/>
        <family val="1"/>
      </rPr>
      <t>7th</t>
    </r>
  </si>
  <si>
    <r>
      <rPr>
        <b/>
        <sz val="7"/>
        <rFont val="Calibri"/>
        <family val="1"/>
      </rPr>
      <t>8th</t>
    </r>
  </si>
  <si>
    <r>
      <rPr>
        <b/>
        <sz val="7"/>
        <rFont val="Calibri"/>
        <family val="1"/>
      </rPr>
      <t>9th</t>
    </r>
  </si>
  <si>
    <r>
      <rPr>
        <b/>
        <sz val="7"/>
        <rFont val="Calibri"/>
        <family val="1"/>
      </rPr>
      <t>10th</t>
    </r>
  </si>
  <si>
    <r>
      <rPr>
        <sz val="7"/>
        <rFont val="Calibri"/>
        <family val="1"/>
      </rPr>
      <t>GIS VRR-17</t>
    </r>
  </si>
  <si>
    <r>
      <rPr>
        <sz val="7"/>
        <rFont val="Calibri"/>
        <family val="1"/>
      </rPr>
      <t>5-Year</t>
    </r>
  </si>
  <si>
    <r>
      <rPr>
        <sz val="7"/>
        <rFont val="Calibri"/>
        <family val="1"/>
      </rPr>
      <t>GIS VRR-18</t>
    </r>
  </si>
  <si>
    <r>
      <rPr>
        <sz val="7"/>
        <rFont val="Calibri"/>
        <family val="1"/>
      </rPr>
      <t>GIS VRR-19</t>
    </r>
  </si>
  <si>
    <r>
      <rPr>
        <sz val="7"/>
        <rFont val="Calibri"/>
        <family val="1"/>
      </rPr>
      <t>GIS VRR-20</t>
    </r>
  </si>
  <si>
    <r>
      <rPr>
        <sz val="7"/>
        <rFont val="Calibri"/>
        <family val="1"/>
      </rPr>
      <t>GIS VRR-21</t>
    </r>
  </si>
  <si>
    <r>
      <rPr>
        <sz val="7"/>
        <rFont val="Calibri"/>
        <family val="1"/>
      </rPr>
      <t>GIS VRR-22</t>
    </r>
  </si>
  <si>
    <t>Rental rate</t>
  </si>
  <si>
    <r>
      <rPr>
        <sz val="7"/>
        <rFont val="Calibri"/>
        <family val="1"/>
      </rPr>
      <t>GIS VRR-23</t>
    </r>
  </si>
  <si>
    <r>
      <rPr>
        <sz val="7"/>
        <rFont val="Calibri"/>
        <family val="1"/>
      </rPr>
      <t>GIS VRR-24</t>
    </r>
  </si>
  <si>
    <r>
      <rPr>
        <sz val="7"/>
        <rFont val="Calibri"/>
        <family val="1"/>
      </rPr>
      <t>GIS VRR-25</t>
    </r>
  </si>
  <si>
    <r>
      <rPr>
        <sz val="7"/>
        <rFont val="Calibri"/>
        <family val="1"/>
      </rPr>
      <t>GIS VRR-26</t>
    </r>
  </si>
  <si>
    <r>
      <rPr>
        <sz val="7"/>
        <rFont val="Calibri"/>
        <family val="1"/>
      </rPr>
      <t>GIS VRR-27</t>
    </r>
  </si>
  <si>
    <r>
      <rPr>
        <sz val="7"/>
        <rFont val="Calibri"/>
        <family val="1"/>
      </rPr>
      <t>3-Year</t>
    </r>
  </si>
  <si>
    <r>
      <rPr>
        <sz val="7"/>
        <rFont val="Calibri"/>
        <family val="1"/>
      </rPr>
      <t>GIS VRR-28</t>
    </r>
  </si>
  <si>
    <r>
      <rPr>
        <sz val="7"/>
        <rFont val="Calibri"/>
        <family val="1"/>
      </rPr>
      <t>1-Year</t>
    </r>
  </si>
  <si>
    <r>
      <rPr>
        <sz val="7"/>
        <rFont val="Calibri"/>
        <family val="1"/>
      </rPr>
      <t>GIS VRR-29</t>
    </r>
  </si>
  <si>
    <r>
      <rPr>
        <sz val="7"/>
        <rFont val="Calibri"/>
        <family val="1"/>
      </rPr>
      <t>GIS VRR-30</t>
    </r>
  </si>
  <si>
    <r>
      <rPr>
        <sz val="7"/>
        <rFont val="Calibri"/>
        <family val="1"/>
      </rPr>
      <t>GIS VRR-31</t>
    </r>
  </si>
  <si>
    <r>
      <rPr>
        <sz val="7"/>
        <rFont val="Calibri"/>
        <family val="1"/>
      </rPr>
      <t>GIS VRR-32</t>
    </r>
  </si>
  <si>
    <r>
      <rPr>
        <sz val="7"/>
        <rFont val="Calibri"/>
        <family val="1"/>
      </rPr>
      <t>GIS VRR-34</t>
    </r>
  </si>
  <si>
    <r>
      <rPr>
        <sz val="7"/>
        <rFont val="Calibri"/>
        <family val="1"/>
      </rPr>
      <t>GIS VRR-35</t>
    </r>
  </si>
  <si>
    <r>
      <rPr>
        <sz val="7"/>
        <rFont val="Calibri"/>
        <family val="1"/>
      </rPr>
      <t>GIS VRR-36</t>
    </r>
  </si>
  <si>
    <r>
      <rPr>
        <sz val="7"/>
        <rFont val="Calibri"/>
        <family val="1"/>
      </rPr>
      <t>GIS VRR-37</t>
    </r>
  </si>
  <si>
    <r>
      <rPr>
        <sz val="7"/>
        <rFont val="Calibri"/>
        <family val="1"/>
      </rPr>
      <t>GIS VRR-38</t>
    </r>
  </si>
  <si>
    <r>
      <rPr>
        <sz val="7"/>
        <rFont val="Calibri"/>
        <family val="1"/>
      </rPr>
      <t>GIS VRR-39</t>
    </r>
  </si>
  <si>
    <r>
      <rPr>
        <sz val="7"/>
        <rFont val="Calibri"/>
        <family val="1"/>
      </rPr>
      <t>GIS VRR-40</t>
    </r>
  </si>
  <si>
    <r>
      <rPr>
        <sz val="7"/>
        <rFont val="Calibri"/>
        <family val="1"/>
      </rPr>
      <t>GIS VRR-41</t>
    </r>
  </si>
  <si>
    <r>
      <rPr>
        <sz val="7"/>
        <rFont val="Calibri"/>
        <family val="1"/>
      </rPr>
      <t>GIS VRR-42</t>
    </r>
  </si>
  <si>
    <r>
      <rPr>
        <b/>
        <sz val="6.5"/>
        <rFont val="Calibri"/>
        <family val="1"/>
      </rPr>
      <t>Auction Number</t>
    </r>
  </si>
  <si>
    <r>
      <rPr>
        <b/>
        <sz val="6.5"/>
        <rFont val="Calibri"/>
        <family val="1"/>
      </rPr>
      <t>Tenor</t>
    </r>
  </si>
  <si>
    <r>
      <rPr>
        <b/>
        <sz val="6.5"/>
        <rFont val="Calibri"/>
        <family val="1"/>
      </rPr>
      <t>Auction Date</t>
    </r>
  </si>
  <si>
    <r>
      <rPr>
        <b/>
        <sz val="6.5"/>
        <rFont val="Calibri"/>
        <family val="1"/>
      </rPr>
      <t>Date of Settlement</t>
    </r>
  </si>
  <si>
    <r>
      <rPr>
        <b/>
        <sz val="6.5"/>
        <rFont val="Calibri"/>
        <family val="1"/>
      </rPr>
      <t>Issue Date</t>
    </r>
  </si>
  <si>
    <r>
      <rPr>
        <b/>
        <sz val="6.5"/>
        <rFont val="Calibri"/>
        <family val="1"/>
      </rPr>
      <t>Maturity Date</t>
    </r>
  </si>
  <si>
    <r>
      <rPr>
        <b/>
        <sz val="6.5"/>
        <rFont val="Calibri"/>
        <family val="1"/>
      </rPr>
      <t>Target Announced</t>
    </r>
  </si>
  <si>
    <r>
      <rPr>
        <b/>
        <sz val="6.5"/>
        <rFont val="Calibri"/>
        <family val="1"/>
      </rPr>
      <t>Amount Offered</t>
    </r>
  </si>
  <si>
    <r>
      <rPr>
        <b/>
        <sz val="6.5"/>
        <rFont val="Calibri"/>
        <family val="1"/>
      </rPr>
      <t>Range of Rental Rate/Price</t>
    </r>
  </si>
  <si>
    <r>
      <rPr>
        <b/>
        <sz val="6.5"/>
        <rFont val="Calibri"/>
        <family val="1"/>
      </rPr>
      <t>Competitive Accepted</t>
    </r>
  </si>
  <si>
    <r>
      <rPr>
        <b/>
        <sz val="6.5"/>
        <rFont val="Calibri"/>
        <family val="1"/>
      </rPr>
      <t>Non Competitive Accepted</t>
    </r>
  </si>
  <si>
    <r>
      <rPr>
        <b/>
        <sz val="6.5"/>
        <rFont val="Calibri"/>
        <family val="1"/>
      </rPr>
      <t>Total Acceptance</t>
    </r>
  </si>
  <si>
    <r>
      <rPr>
        <b/>
        <sz val="6.5"/>
        <rFont val="Calibri"/>
        <family val="1"/>
      </rPr>
      <t>Fixed Rental Rate</t>
    </r>
  </si>
  <si>
    <r>
      <rPr>
        <b/>
        <sz val="6.5"/>
        <rFont val="Calibri"/>
        <family val="1"/>
      </rPr>
      <t>Cut off Price</t>
    </r>
  </si>
  <si>
    <r>
      <rPr>
        <b/>
        <sz val="6.5"/>
        <rFont val="Calibri"/>
        <family val="1"/>
      </rPr>
      <t>Cut off Yield*</t>
    </r>
  </si>
  <si>
    <r>
      <rPr>
        <sz val="6.5"/>
        <rFont val="Calibri"/>
        <family val="1"/>
      </rPr>
      <t>GIS-FRR 04</t>
    </r>
  </si>
  <si>
    <r>
      <rPr>
        <sz val="6.5"/>
        <rFont val="Calibri"/>
        <family val="1"/>
      </rPr>
      <t>5-Year</t>
    </r>
  </si>
  <si>
    <r>
      <rPr>
        <sz val="6.5"/>
        <rFont val="Calibri"/>
        <family val="1"/>
      </rPr>
      <t>7.89 to 8.90</t>
    </r>
  </si>
  <si>
    <r>
      <rPr>
        <sz val="6.5"/>
        <rFont val="Calibri"/>
        <family val="1"/>
      </rPr>
      <t>GIS-FRR 04 (1st RO)</t>
    </r>
  </si>
  <si>
    <r>
      <rPr>
        <sz val="6.5"/>
        <rFont val="Calibri"/>
        <family val="1"/>
      </rPr>
      <t>101.4713 - 95.6000</t>
    </r>
  </si>
  <si>
    <r>
      <rPr>
        <sz val="6.5"/>
        <rFont val="Calibri"/>
        <family val="1"/>
      </rPr>
      <t>GIS-FRR 04 (2nd RO)</t>
    </r>
  </si>
  <si>
    <r>
      <rPr>
        <sz val="6.5"/>
        <rFont val="Calibri"/>
        <family val="1"/>
      </rPr>
      <t>100.0500 - 98.5055</t>
    </r>
  </si>
  <si>
    <r>
      <rPr>
        <sz val="6.5"/>
        <rFont val="Calibri"/>
        <family val="1"/>
      </rPr>
      <t>GIS-FRR 04 (3rd RO)</t>
    </r>
  </si>
  <si>
    <r>
      <rPr>
        <sz val="6.5"/>
        <rFont val="Calibri"/>
        <family val="1"/>
      </rPr>
      <t>98.5214 - 97.0000</t>
    </r>
  </si>
  <si>
    <r>
      <rPr>
        <sz val="6.5"/>
        <rFont val="Calibri"/>
        <family val="1"/>
      </rPr>
      <t>BIDS REJECTED</t>
    </r>
  </si>
  <si>
    <r>
      <rPr>
        <sz val="6.5"/>
        <rFont val="Calibri"/>
        <family val="1"/>
      </rPr>
      <t>-</t>
    </r>
  </si>
  <si>
    <r>
      <rPr>
        <sz val="6.5"/>
        <rFont val="Calibri"/>
        <family val="1"/>
      </rPr>
      <t>GIS-FRR 05</t>
    </r>
  </si>
  <si>
    <r>
      <rPr>
        <sz val="6.5"/>
        <rFont val="Calibri"/>
        <family val="1"/>
      </rPr>
      <t>8.65 to 9.15</t>
    </r>
  </si>
  <si>
    <r>
      <rPr>
        <sz val="6.5"/>
        <rFont val="Calibri"/>
        <family val="1"/>
      </rPr>
      <t>GIS-FRR 06</t>
    </r>
  </si>
  <si>
    <r>
      <rPr>
        <sz val="6.5"/>
        <rFont val="Calibri"/>
        <family val="1"/>
      </rPr>
      <t>8.80 to 9.15</t>
    </r>
  </si>
  <si>
    <r>
      <rPr>
        <sz val="6.5"/>
        <rFont val="Calibri"/>
        <family val="1"/>
      </rPr>
      <t>GIS-FRR 07</t>
    </r>
  </si>
  <si>
    <r>
      <rPr>
        <sz val="6.5"/>
        <rFont val="Calibri"/>
        <family val="1"/>
      </rPr>
      <t>9.25 to 9.52</t>
    </r>
  </si>
  <si>
    <t>Fixed Rental Rate</t>
  </si>
  <si>
    <r>
      <rPr>
        <sz val="6.5"/>
        <rFont val="Calibri"/>
        <family val="1"/>
      </rPr>
      <t>GIS-FRR 08</t>
    </r>
  </si>
  <si>
    <r>
      <rPr>
        <sz val="6.5"/>
        <rFont val="Calibri"/>
        <family val="1"/>
      </rPr>
      <t>9.65 to 10.75</t>
    </r>
  </si>
  <si>
    <r>
      <rPr>
        <sz val="6.5"/>
        <rFont val="Calibri"/>
        <family val="1"/>
      </rPr>
      <t>GIS-FRR 09</t>
    </r>
  </si>
  <si>
    <r>
      <rPr>
        <sz val="6.5"/>
        <rFont val="Calibri"/>
        <family val="1"/>
      </rPr>
      <t>9.98 to 11.10</t>
    </r>
  </si>
  <si>
    <r>
      <rPr>
        <sz val="6.5"/>
        <rFont val="Calibri"/>
        <family val="1"/>
      </rPr>
      <t>GIS-FRR 10</t>
    </r>
  </si>
  <si>
    <r>
      <rPr>
        <sz val="6.5"/>
        <rFont val="Calibri"/>
        <family val="1"/>
      </rPr>
      <t>9.80 to 10.99</t>
    </r>
  </si>
  <si>
    <r>
      <rPr>
        <sz val="6.5"/>
        <rFont val="Calibri"/>
        <family val="1"/>
      </rPr>
      <t>GIS-FRR 11</t>
    </r>
  </si>
  <si>
    <r>
      <rPr>
        <sz val="6.5"/>
        <rFont val="Calibri"/>
        <family val="1"/>
      </rPr>
      <t>11.00 to 12.84</t>
    </r>
  </si>
  <si>
    <r>
      <rPr>
        <sz val="6.5"/>
        <rFont val="Calibri"/>
        <family val="1"/>
      </rPr>
      <t>GIS-FRR 11 (1st RO)</t>
    </r>
  </si>
  <si>
    <r>
      <rPr>
        <sz val="6.5"/>
        <rFont val="Calibri"/>
        <family val="1"/>
      </rPr>
      <t>101.5000 - 96.4087</t>
    </r>
  </si>
  <si>
    <r>
      <rPr>
        <sz val="6.5"/>
        <rFont val="Calibri"/>
        <family val="1"/>
      </rPr>
      <t>GIS-FRR 11 (2nd RO)</t>
    </r>
  </si>
  <si>
    <r>
      <rPr>
        <sz val="6.5"/>
        <rFont val="Calibri"/>
        <family val="1"/>
      </rPr>
      <t>104.6493 - 99.9638</t>
    </r>
  </si>
  <si>
    <r>
      <rPr>
        <sz val="6.5"/>
        <rFont val="Calibri"/>
        <family val="1"/>
      </rPr>
      <t>GIS-FRR 11 (3rd RO)</t>
    </r>
  </si>
  <si>
    <r>
      <rPr>
        <sz val="6.5"/>
        <rFont val="Calibri"/>
        <family val="1"/>
      </rPr>
      <t>103.0000 - 97.1420</t>
    </r>
  </si>
  <si>
    <r>
      <rPr>
        <sz val="6.5"/>
        <rFont val="Calibri"/>
        <family val="1"/>
      </rPr>
      <t>GIS-FRR 12</t>
    </r>
  </si>
  <si>
    <r>
      <rPr>
        <sz val="6.5"/>
        <rFont val="Calibri"/>
        <family val="1"/>
      </rPr>
      <t>11.10  to 14.00</t>
    </r>
  </si>
  <si>
    <r>
      <rPr>
        <sz val="6.5"/>
        <rFont val="Calibri"/>
        <family val="1"/>
      </rPr>
      <t>GIS-FRR 12 (1st RO)</t>
    </r>
  </si>
  <si>
    <r>
      <rPr>
        <sz val="6.5"/>
        <rFont val="Calibri"/>
        <family val="1"/>
      </rPr>
      <t>100.2946 - 93.0814</t>
    </r>
  </si>
  <si>
    <r>
      <rPr>
        <sz val="6.5"/>
        <rFont val="Calibri"/>
        <family val="1"/>
      </rPr>
      <t>GIS-FRR 12 (2nd RO)</t>
    </r>
  </si>
  <si>
    <r>
      <rPr>
        <sz val="6.5"/>
        <rFont val="Calibri"/>
        <family val="1"/>
      </rPr>
      <t>100.2000 - 91.5545</t>
    </r>
  </si>
  <si>
    <r>
      <rPr>
        <sz val="6.5"/>
        <rFont val="Calibri"/>
        <family val="1"/>
      </rPr>
      <t>GIS-FRR 12 (3rd RO)</t>
    </r>
  </si>
  <si>
    <r>
      <rPr>
        <sz val="6.5"/>
        <rFont val="Calibri"/>
        <family val="1"/>
      </rPr>
      <t>100.0000 - 90.8499</t>
    </r>
  </si>
  <si>
    <r>
      <rPr>
        <sz val="6.5"/>
        <rFont val="Calibri"/>
        <family val="1"/>
      </rPr>
      <t>GIS-FRR 12 (4th RO)</t>
    </r>
  </si>
  <si>
    <r>
      <rPr>
        <sz val="6.5"/>
        <rFont val="Calibri"/>
        <family val="1"/>
      </rPr>
      <t>100.6181 - 94.9300</t>
    </r>
  </si>
  <si>
    <r>
      <rPr>
        <sz val="6.5"/>
        <rFont val="Calibri"/>
        <family val="1"/>
      </rPr>
      <t>GIS-FRR 12 (5th RO)</t>
    </r>
  </si>
  <si>
    <r>
      <rPr>
        <sz val="6.5"/>
        <rFont val="Calibri"/>
        <family val="1"/>
      </rPr>
      <t>98.5885 - 96.6379</t>
    </r>
  </si>
  <si>
    <r>
      <rPr>
        <sz val="6.5"/>
        <rFont val="Calibri"/>
        <family val="1"/>
      </rPr>
      <t>GIS-FRR 13</t>
    </r>
  </si>
  <si>
    <r>
      <rPr>
        <sz val="6.5"/>
        <rFont val="Calibri"/>
        <family val="1"/>
      </rPr>
      <t>12.49 to 13.35</t>
    </r>
  </si>
  <si>
    <r>
      <rPr>
        <sz val="6.5"/>
        <rFont val="Calibri"/>
        <family val="1"/>
      </rPr>
      <t>GIS-FRR 14</t>
    </r>
  </si>
  <si>
    <r>
      <rPr>
        <sz val="6.5"/>
        <rFont val="Calibri"/>
        <family val="1"/>
      </rPr>
      <t>12.49 to 12.50</t>
    </r>
  </si>
  <si>
    <r>
      <rPr>
        <sz val="6.5"/>
        <rFont val="Calibri"/>
        <family val="1"/>
      </rPr>
      <t>GIS-FRR 14 (1st RO)</t>
    </r>
  </si>
  <si>
    <r>
      <rPr>
        <sz val="6.5"/>
        <rFont val="Calibri"/>
        <family val="1"/>
      </rPr>
      <t>100.0000 - 100.0000</t>
    </r>
  </si>
  <si>
    <r>
      <rPr>
        <sz val="6.5"/>
        <rFont val="Calibri"/>
        <family val="1"/>
      </rPr>
      <t>GIS-FRR 14 (2nd RO)</t>
    </r>
  </si>
  <si>
    <r>
      <rPr>
        <sz val="6.5"/>
        <rFont val="Calibri"/>
        <family val="1"/>
      </rPr>
      <t>NO BID RECEIVED</t>
    </r>
  </si>
  <si>
    <r>
      <rPr>
        <sz val="6.5"/>
        <rFont val="Calibri"/>
        <family val="1"/>
      </rPr>
      <t>GIS-FRR 15</t>
    </r>
  </si>
  <si>
    <r>
      <rPr>
        <sz val="6.5"/>
        <rFont val="Calibri"/>
        <family val="1"/>
      </rPr>
      <t>3-Year</t>
    </r>
  </si>
  <si>
    <r>
      <rPr>
        <sz val="6.5"/>
        <rFont val="Calibri"/>
        <family val="1"/>
      </rPr>
      <t>GIS-FRR 14 (3rd RO)</t>
    </r>
  </si>
  <si>
    <r>
      <rPr>
        <sz val="6.5"/>
        <rFont val="Calibri"/>
        <family val="1"/>
      </rPr>
      <t>GIS-FRR 16</t>
    </r>
  </si>
  <si>
    <r>
      <rPr>
        <sz val="6.5"/>
        <rFont val="Calibri"/>
        <family val="1"/>
      </rPr>
      <t>1-Year</t>
    </r>
  </si>
  <si>
    <r>
      <rPr>
        <sz val="6.5"/>
        <rFont val="Calibri"/>
        <family val="1"/>
      </rPr>
      <t>17.50 to 17.50</t>
    </r>
  </si>
  <si>
    <r>
      <rPr>
        <sz val="6.5"/>
        <rFont val="Calibri"/>
        <family val="1"/>
      </rPr>
      <t>GIS-FRR 17</t>
    </r>
  </si>
  <si>
    <r>
      <rPr>
        <sz val="6.5"/>
        <rFont val="Calibri"/>
        <family val="1"/>
      </rPr>
      <t>17.10 to 17.10</t>
    </r>
  </si>
  <si>
    <r>
      <rPr>
        <sz val="6.5"/>
        <rFont val="Calibri"/>
        <family val="1"/>
      </rPr>
      <t>GIS-FRR 14 (4th RO)</t>
    </r>
  </si>
  <si>
    <r>
      <rPr>
        <sz val="6.5"/>
        <rFont val="Calibri"/>
        <family val="1"/>
      </rPr>
      <t>GIS-FRR 18</t>
    </r>
  </si>
  <si>
    <r>
      <rPr>
        <sz val="6.5"/>
        <rFont val="Calibri"/>
        <family val="1"/>
      </rPr>
      <t>20.00 to 23.95</t>
    </r>
  </si>
  <si>
    <r>
      <rPr>
        <sz val="6.5"/>
        <rFont val="Calibri"/>
        <family val="1"/>
      </rPr>
      <t>GIS-FRR 19</t>
    </r>
  </si>
  <si>
    <r>
      <rPr>
        <sz val="6.5"/>
        <rFont val="Calibri"/>
        <family val="1"/>
      </rPr>
      <t>GIS-FRR 14 (5th RO)</t>
    </r>
  </si>
  <si>
    <r>
      <rPr>
        <sz val="6.5"/>
        <rFont val="Calibri"/>
        <family val="1"/>
      </rPr>
      <t>GIS-FRR 20</t>
    </r>
  </si>
  <si>
    <r>
      <rPr>
        <sz val="6.5"/>
        <rFont val="Calibri"/>
        <family val="1"/>
      </rPr>
      <t>20.00 to 22.25</t>
    </r>
  </si>
  <si>
    <r>
      <rPr>
        <sz val="6.5"/>
        <rFont val="Calibri"/>
        <family val="1"/>
      </rPr>
      <t>GIS-FRR 21</t>
    </r>
  </si>
  <si>
    <r>
      <rPr>
        <sz val="6.5"/>
        <rFont val="Calibri"/>
        <family val="1"/>
      </rPr>
      <t>17.99 to 18.24</t>
    </r>
  </si>
  <si>
    <r>
      <rPr>
        <sz val="6.5"/>
        <rFont val="Calibri"/>
        <family val="1"/>
      </rPr>
      <t>GIS-FRR 14 (6th RO)</t>
    </r>
  </si>
  <si>
    <r>
      <rPr>
        <sz val="6.5"/>
        <rFont val="Calibri"/>
        <family val="1"/>
      </rPr>
      <t>GIS-FRR 22</t>
    </r>
  </si>
  <si>
    <r>
      <rPr>
        <sz val="6.5"/>
        <rFont val="Calibri"/>
        <family val="1"/>
      </rPr>
      <t>20.99 to 21.30</t>
    </r>
  </si>
  <si>
    <r>
      <rPr>
        <sz val="6.5"/>
        <rFont val="Calibri"/>
        <family val="1"/>
      </rPr>
      <t>GIS-FRR 21 (1st RO)</t>
    </r>
  </si>
  <si>
    <r>
      <rPr>
        <sz val="6.5"/>
        <rFont val="Calibri"/>
        <family val="1"/>
      </rPr>
      <t>97.2300 - 97.2300</t>
    </r>
  </si>
  <si>
    <r>
      <rPr>
        <sz val="6.5"/>
        <rFont val="Calibri"/>
        <family val="1"/>
      </rPr>
      <t>GIS-FRR 14 (7th RO)</t>
    </r>
  </si>
  <si>
    <r>
      <rPr>
        <sz val="6.5"/>
        <rFont val="Calibri"/>
        <family val="1"/>
      </rPr>
      <t>GIS-FRR 23</t>
    </r>
  </si>
  <si>
    <r>
      <rPr>
        <sz val="6.5"/>
        <rFont val="Calibri"/>
        <family val="1"/>
      </rPr>
      <t>20.00 to 21.29</t>
    </r>
  </si>
  <si>
    <r>
      <rPr>
        <sz val="6.5"/>
        <rFont val="Calibri"/>
        <family val="1"/>
      </rPr>
      <t>GIS-FRR 24</t>
    </r>
  </si>
  <si>
    <r>
      <rPr>
        <sz val="6.5"/>
        <rFont val="Calibri"/>
        <family val="1"/>
      </rPr>
      <t>17.99 to 20.00</t>
    </r>
  </si>
  <si>
    <r>
      <rPr>
        <sz val="6.5"/>
        <rFont val="Calibri"/>
        <family val="1"/>
      </rPr>
      <t>GIS-FRR 25</t>
    </r>
  </si>
  <si>
    <r>
      <rPr>
        <sz val="6.5"/>
        <rFont val="Calibri"/>
        <family val="1"/>
      </rPr>
      <t>GIS-FRR 26</t>
    </r>
  </si>
  <si>
    <r>
      <rPr>
        <sz val="6.5"/>
        <rFont val="Calibri"/>
        <family val="1"/>
      </rPr>
      <t>21.29 to 22.15</t>
    </r>
  </si>
  <si>
    <r>
      <rPr>
        <sz val="6.5"/>
        <rFont val="Calibri"/>
        <family val="1"/>
      </rPr>
      <t>GIS-FRR 24 (1st RO)</t>
    </r>
  </si>
  <si>
    <r>
      <rPr>
        <sz val="6.5"/>
        <rFont val="Calibri"/>
        <family val="1"/>
      </rPr>
      <t>100.2768 - 98.3331</t>
    </r>
  </si>
  <si>
    <r>
      <rPr>
        <sz val="6.5"/>
        <rFont val="Calibri"/>
        <family val="1"/>
      </rPr>
      <t>GIS-FRR 27</t>
    </r>
  </si>
  <si>
    <r>
      <rPr>
        <sz val="6.5"/>
        <rFont val="Calibri"/>
        <family val="1"/>
      </rPr>
      <t>15.99 to 15.99</t>
    </r>
  </si>
  <si>
    <r>
      <rPr>
        <sz val="6.5"/>
        <rFont val="Calibri"/>
        <family val="1"/>
      </rPr>
      <t>GIS-FRR 28</t>
    </r>
  </si>
  <si>
    <r>
      <rPr>
        <sz val="6.5"/>
        <rFont val="Calibri"/>
        <family val="1"/>
      </rPr>
      <t>GIS-FRR 24 (2nd RO)</t>
    </r>
  </si>
  <si>
    <r>
      <rPr>
        <sz val="6.5"/>
        <rFont val="Calibri"/>
        <family val="1"/>
      </rPr>
      <t>99.3648 - 96.7500</t>
    </r>
  </si>
  <si>
    <r>
      <rPr>
        <sz val="6.5"/>
        <rFont val="Calibri"/>
        <family val="1"/>
      </rPr>
      <t>GIS-FRR 29</t>
    </r>
  </si>
  <si>
    <r>
      <rPr>
        <sz val="6.5"/>
        <rFont val="Calibri"/>
        <family val="1"/>
      </rPr>
      <t>16.30 to 17.15</t>
    </r>
  </si>
  <si>
    <r>
      <rPr>
        <sz val="6.5"/>
        <rFont val="Calibri"/>
        <family val="1"/>
      </rPr>
      <t>GIS-FRR 30</t>
    </r>
  </si>
  <si>
    <r>
      <rPr>
        <sz val="6.5"/>
        <rFont val="Calibri"/>
        <family val="1"/>
      </rPr>
      <t>21.75 to 24.00</t>
    </r>
  </si>
  <si>
    <r>
      <rPr>
        <sz val="6.5"/>
        <rFont val="Calibri"/>
        <family val="1"/>
      </rPr>
      <t>GIS-FRR 24 (3rd RO)</t>
    </r>
  </si>
  <si>
    <r>
      <rPr>
        <sz val="6.5"/>
        <rFont val="Calibri"/>
        <family val="1"/>
      </rPr>
      <t>98.8355 - 95.9000</t>
    </r>
  </si>
  <si>
    <r>
      <rPr>
        <sz val="6.5"/>
        <rFont val="Calibri"/>
        <family val="1"/>
      </rPr>
      <t>GIS-FRR 31</t>
    </r>
  </si>
  <si>
    <r>
      <rPr>
        <sz val="6.5"/>
        <rFont val="Calibri"/>
        <family val="1"/>
      </rPr>
      <t>16.50 to 18.79</t>
    </r>
  </si>
  <si>
    <r>
      <rPr>
        <sz val="6.5"/>
        <rFont val="Calibri"/>
        <family val="1"/>
      </rPr>
      <t>GIS-FRR 32</t>
    </r>
  </si>
  <si>
    <r>
      <rPr>
        <sz val="6.5"/>
        <rFont val="Calibri"/>
        <family val="1"/>
      </rPr>
      <t>21.50 to 23.49</t>
    </r>
  </si>
  <si>
    <r>
      <rPr>
        <sz val="6.5"/>
        <rFont val="Calibri"/>
        <family val="1"/>
      </rPr>
      <t>GIS-FRR 24 (4th RO)</t>
    </r>
  </si>
  <si>
    <r>
      <rPr>
        <sz val="6.5"/>
        <rFont val="Calibri"/>
        <family val="1"/>
      </rPr>
      <t>100.0861 - 98.5048</t>
    </r>
  </si>
  <si>
    <r>
      <rPr>
        <sz val="6.5"/>
        <rFont val="Calibri"/>
        <family val="1"/>
      </rPr>
      <t>GIS-FRR 31 (1st RO)</t>
    </r>
  </si>
  <si>
    <r>
      <rPr>
        <sz val="6.5"/>
        <rFont val="Calibri"/>
        <family val="1"/>
      </rPr>
      <t>100.0338 - 96.3493</t>
    </r>
  </si>
  <si>
    <r>
      <rPr>
        <sz val="6.5"/>
        <rFont val="Calibri"/>
        <family val="1"/>
      </rPr>
      <t>GIS-FRR 33</t>
    </r>
  </si>
  <si>
    <r>
      <rPr>
        <sz val="6.5"/>
        <rFont val="Calibri"/>
        <family val="1"/>
      </rPr>
      <t>15.50 to 20.00</t>
    </r>
  </si>
  <si>
    <r>
      <rPr>
        <sz val="6.5"/>
        <rFont val="Calibri"/>
        <family val="1"/>
      </rPr>
      <t>GIS-FRR 34</t>
    </r>
  </si>
  <si>
    <r>
      <rPr>
        <sz val="6.5"/>
        <rFont val="Calibri"/>
        <family val="1"/>
      </rPr>
      <t>14.50 to 16.87</t>
    </r>
  </si>
  <si>
    <r>
      <rPr>
        <sz val="6.5"/>
        <rFont val="Calibri"/>
        <family val="1"/>
      </rPr>
      <t>GIS-FRR 33 (1st RO)</t>
    </r>
  </si>
  <si>
    <r>
      <rPr>
        <sz val="6.5"/>
        <rFont val="Calibri"/>
        <family val="1"/>
      </rPr>
      <t>102.00 - 90.00</t>
    </r>
  </si>
  <si>
    <r>
      <rPr>
        <sz val="6.5"/>
        <rFont val="Calibri"/>
        <family val="1"/>
      </rPr>
      <t>GIS-FRR 34 (1st RO)</t>
    </r>
  </si>
  <si>
    <r>
      <rPr>
        <sz val="6.5"/>
        <rFont val="Calibri"/>
        <family val="1"/>
      </rPr>
      <t>100.0022 - 90.0000</t>
    </r>
  </si>
  <si>
    <t>KSE100</t>
  </si>
  <si>
    <t>Open</t>
  </si>
  <si>
    <t>High</t>
  </si>
  <si>
    <t>Low</t>
  </si>
  <si>
    <t>Close</t>
  </si>
  <si>
    <t>Volume</t>
  </si>
  <si>
    <t>Weekly Return</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</si>
  <si>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</si>
  <si>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</si>
  <si>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</si>
  <si>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</si>
  <si>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</si>
  <si>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</si>
  <si>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</si>
  <si>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</si>
  <si>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</si>
  <si>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</si>
  <si>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</si>
  <si>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</si>
  <si>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</si>
  <si>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</si>
  <si>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</si>
  <si>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</si>
  <si>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</si>
  <si>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</si>
  <si>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</si>
  <si>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</si>
  <si>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</si>
  <si>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</si>
  <si>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</si>
  <si>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</si>
  <si>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Week of Sep 8, 2025</t>
  </si>
  <si>
    <t>Week of Sep 1, 2025</t>
  </si>
  <si>
    <t>Week of Aug 25, 2025</t>
  </si>
  <si>
    <t>Week of Aug 18, 2025</t>
  </si>
  <si>
    <t>Week of Aug 11, 2025</t>
  </si>
  <si>
    <t>Week of Aug 4, 2025</t>
  </si>
  <si>
    <t>Week of Jul 28, 2025</t>
  </si>
  <si>
    <t>Week of Jul 21, 2025</t>
  </si>
  <si>
    <t>Week of Jul 14, 2025</t>
  </si>
  <si>
    <t>Week of Jul 7, 2025</t>
  </si>
  <si>
    <t>Week of Jun 30, 2025</t>
  </si>
  <si>
    <t>Week of Jun 23, 2025</t>
  </si>
  <si>
    <t>Week of Jun 16, 2025</t>
  </si>
  <si>
    <t>Week of Jun 10, 2025</t>
  </si>
  <si>
    <t>Week of Jun 2, 2025</t>
  </si>
  <si>
    <t>Week of May 26, 2025</t>
  </si>
  <si>
    <t>Week of May 19, 2025</t>
  </si>
  <si>
    <t>Week of May 12, 2025</t>
  </si>
  <si>
    <t>Week of May 5, 2025</t>
  </si>
  <si>
    <t>Week of Apr 28, 2025</t>
  </si>
  <si>
    <t>Week of Apr 21, 2025</t>
  </si>
  <si>
    <t>Week of Apr 14, 2025</t>
  </si>
  <si>
    <t>Week of Apr 7, 2025</t>
  </si>
  <si>
    <t>Week of Mar 24, 2025</t>
  </si>
  <si>
    <t>Week of Mar 17, 2025</t>
  </si>
  <si>
    <t>Week of Mar 10, 2025</t>
  </si>
  <si>
    <t>Week of Mar 3, 2025</t>
  </si>
  <si>
    <t>Week of Feb 24, 2025</t>
  </si>
  <si>
    <t>Week of Feb 17, 2025</t>
  </si>
  <si>
    <t>Week of Feb 10, 2025</t>
  </si>
  <si>
    <t>Week of Feb 3, 2025</t>
  </si>
  <si>
    <t>Week of Jan 27, 2025</t>
  </si>
  <si>
    <t>Week of Jan 20, 2025</t>
  </si>
  <si>
    <t>Week of Jan 13, 2025</t>
  </si>
  <si>
    <t>Week of Jan 6, 2025</t>
  </si>
  <si>
    <t>Week of Dec 30, 2024</t>
  </si>
  <si>
    <t>Week of Dec 23, 2024</t>
  </si>
  <si>
    <t>Week of Dec 16, 2024</t>
  </si>
  <si>
    <t>Week of Dec 9, 2024</t>
  </si>
  <si>
    <t>Week of Dec 2, 2024</t>
  </si>
  <si>
    <t>Week of Nov 25, 2024</t>
  </si>
  <si>
    <t>Week of Nov 18, 2024</t>
  </si>
  <si>
    <t>Week of Nov 11, 2024</t>
  </si>
  <si>
    <t>Week of Nov 4, 2024</t>
  </si>
  <si>
    <t>Week of Oct 28, 2024</t>
  </si>
  <si>
    <t>Week of Oct 21, 2024</t>
  </si>
  <si>
    <t>Week of Oct 14, 2024</t>
  </si>
  <si>
    <t>Week of Oct 7, 2024</t>
  </si>
  <si>
    <t>Week of Sep 30, 2024</t>
  </si>
  <si>
    <t>Week of Sep 23, 2024</t>
  </si>
  <si>
    <t>Week of Sep 16, 2024</t>
  </si>
  <si>
    <t>Week of Sep 9, 2024</t>
  </si>
  <si>
    <t>Week of Sep 2, 2024</t>
  </si>
  <si>
    <t>Week of Aug 26, 2024</t>
  </si>
  <si>
    <t>Week of Aug 19, 2024</t>
  </si>
  <si>
    <t>Week of Aug 12, 2024</t>
  </si>
  <si>
    <t>Week of Aug 5, 2024</t>
  </si>
  <si>
    <t>Week of Jul 29, 2024</t>
  </si>
  <si>
    <t>Week of Jul 22, 2024</t>
  </si>
  <si>
    <t>Week of Jul 15, 2024</t>
  </si>
  <si>
    <t>Week of Jul 8, 2024</t>
  </si>
  <si>
    <t>Week of Jul 1, 2024</t>
  </si>
  <si>
    <t>Week of Jun 24, 2024</t>
  </si>
  <si>
    <t>Week of Jun 20, 2024</t>
  </si>
  <si>
    <t>Week of Jun 10, 2024</t>
  </si>
  <si>
    <t>Week of Jun 3, 2024</t>
  </si>
  <si>
    <t>Week of May 27, 2024</t>
  </si>
  <si>
    <t>Week of May 20, 2024</t>
  </si>
  <si>
    <t>Week of May 13, 2024</t>
  </si>
  <si>
    <t>Week of May 6, 2024</t>
  </si>
  <si>
    <t>Week of Apr 29, 2024</t>
  </si>
  <si>
    <t>Week of Apr 22, 2024</t>
  </si>
  <si>
    <t>Week of Apr 15, 2024</t>
  </si>
  <si>
    <t>Week of Apr 8, 2024</t>
  </si>
  <si>
    <t>Week of Apr 1, 2024</t>
  </si>
  <si>
    <t>Week of Mar 25, 2024</t>
  </si>
  <si>
    <t>Week of Mar 18, 2024</t>
  </si>
  <si>
    <t>Week of Mar 11, 2024</t>
  </si>
  <si>
    <t>Week of Mar 4, 2024</t>
  </si>
  <si>
    <t>Week of Feb 26, 2024</t>
  </si>
  <si>
    <t>Week of Feb 19, 2024</t>
  </si>
  <si>
    <t>Week of Feb 12, 2024</t>
  </si>
  <si>
    <t>Week of Feb 6, 2024</t>
  </si>
  <si>
    <t>Week of Jan 29, 2024</t>
  </si>
  <si>
    <t>Week of Jan 22, 2024</t>
  </si>
  <si>
    <t>Week of Jan 15, 2024</t>
  </si>
  <si>
    <t>Week of Jan 8, 2024</t>
  </si>
  <si>
    <t>Week of Jan 1, 2024</t>
  </si>
  <si>
    <t>Week of Dec 26, 2023</t>
  </si>
  <si>
    <t>Week of Dec 18, 2023</t>
  </si>
  <si>
    <t>Week of Dec 11, 2023</t>
  </si>
  <si>
    <t>Week of Dec 4, 2023</t>
  </si>
  <si>
    <t>Week of Nov 27, 2023</t>
  </si>
  <si>
    <t>Week of Nov 20, 2023</t>
  </si>
  <si>
    <t>Week of Nov 13, 2023</t>
  </si>
  <si>
    <t>Week of Nov 6, 2023</t>
  </si>
  <si>
    <t>Week of Oct 30, 2023</t>
  </si>
  <si>
    <t>Week of Oct 23, 2023</t>
  </si>
  <si>
    <t>Week of Oct 16, 2023</t>
  </si>
  <si>
    <t>Week of Oct 9, 2023</t>
  </si>
  <si>
    <t>Week of Oct 2, 2023</t>
  </si>
  <si>
    <t>Week of Sep 25, 2023</t>
  </si>
  <si>
    <t>Week of Sep 18, 2023</t>
  </si>
  <si>
    <t>Week of Sep 11, 2023</t>
  </si>
  <si>
    <t>Week of Sep 4, 2023</t>
  </si>
  <si>
    <t>Week of Aug 28, 2023</t>
  </si>
  <si>
    <t>Week of Aug 21, 2023</t>
  </si>
  <si>
    <t>Week of Aug 15, 2023</t>
  </si>
  <si>
    <t>Week of Aug 7, 2023</t>
  </si>
  <si>
    <t>Week of Jul 31, 2023</t>
  </si>
  <si>
    <t>Week of Jul 24, 2023</t>
  </si>
  <si>
    <t>Week of Jul 17, 2023</t>
  </si>
  <si>
    <t>Week of Jul 10, 2023</t>
  </si>
  <si>
    <t>Week of Jul 3, 2023</t>
  </si>
  <si>
    <t>Week of Jun 26, 2023</t>
  </si>
  <si>
    <t>Week of Jun 19, 2023</t>
  </si>
  <si>
    <t>Week of Jun 12, 2023</t>
  </si>
  <si>
    <t>Week of Jun 5, 2023</t>
  </si>
  <si>
    <t>Week of May 29, 2023</t>
  </si>
  <si>
    <t>Week of May 22, 2023</t>
  </si>
  <si>
    <t>Week of May 15, 2023</t>
  </si>
  <si>
    <t>Week of May 8, 2023</t>
  </si>
  <si>
    <t>Week of May 2, 2023</t>
  </si>
  <si>
    <t>Week of Apr 26, 2023</t>
  </si>
  <si>
    <t>Week of Apr 17, 2023</t>
  </si>
  <si>
    <t>Week of Apr 10, 2023</t>
  </si>
  <si>
    <t>Week of Apr 3, 2023</t>
  </si>
  <si>
    <t>Week of Mar 27, 2023</t>
  </si>
  <si>
    <t>Week of Mar 20, 2023</t>
  </si>
  <si>
    <t>Week of Mar 13, 2023</t>
  </si>
  <si>
    <t>Week of Mar 6, 2023</t>
  </si>
  <si>
    <t>Week of Feb 27, 2023</t>
  </si>
  <si>
    <t>Week of Feb 20, 2023</t>
  </si>
  <si>
    <t>Week of Feb 13, 2023</t>
  </si>
  <si>
    <t>Week of Feb 6, 2023</t>
  </si>
  <si>
    <t>Week of Jan 30, 2023</t>
  </si>
  <si>
    <t>Week of Jan 23, 2023</t>
  </si>
  <si>
    <t>Week of Jan 16, 2023</t>
  </si>
  <si>
    <t>Week of Jan 9, 2023</t>
  </si>
  <si>
    <t>Week of Jan 2, 2023</t>
  </si>
  <si>
    <t>Week of Dec 26, 2022</t>
  </si>
  <si>
    <t>Week of Dec 19, 2022</t>
  </si>
  <si>
    <t>Week of Dec 12, 2022</t>
  </si>
  <si>
    <t>Week of Dec 5, 2022</t>
  </si>
  <si>
    <t>Week of Nov 28, 2022</t>
  </si>
  <si>
    <t>Week of Nov 21, 2022</t>
  </si>
  <si>
    <t>Week of Nov 14, 2022</t>
  </si>
  <si>
    <t>Week of Nov 7, 2022</t>
  </si>
  <si>
    <t>Week of Oct 31, 2022</t>
  </si>
  <si>
    <t>Week of Oct 24, 2022</t>
  </si>
  <si>
    <t>Week of Oct 17, 2022</t>
  </si>
  <si>
    <t>Week of Oct 10, 2022</t>
  </si>
  <si>
    <t>Week of Oct 3, 2022</t>
  </si>
  <si>
    <t>Week of Sep 26, 2022</t>
  </si>
  <si>
    <t>Week of Sep 19, 2022</t>
  </si>
  <si>
    <t>Week of Sep 12, 2022</t>
  </si>
  <si>
    <t>Week of Sep 5, 2022</t>
  </si>
  <si>
    <t>Week of Aug 29, 2022</t>
  </si>
  <si>
    <t>Week of Aug 22, 2022</t>
  </si>
  <si>
    <t>Week of Aug 15, 2022</t>
  </si>
  <si>
    <t>Week of Aug 10, 2022</t>
  </si>
  <si>
    <t>Week of Aug 1, 2022</t>
  </si>
  <si>
    <t>Week of Jul 25, 2022</t>
  </si>
  <si>
    <t>Week of Jul 18, 2022</t>
  </si>
  <si>
    <t>Week of Jul 13, 2022</t>
  </si>
  <si>
    <t>Week of Jul 4, 2022</t>
  </si>
  <si>
    <t>Week of Jun 27, 2022</t>
  </si>
  <si>
    <t>Week of Jun 20, 2022</t>
  </si>
  <si>
    <t>Week of Jun 13, 2022</t>
  </si>
  <si>
    <t>Week of Jun 6, 2022</t>
  </si>
  <si>
    <t>Week of May 30, 2022</t>
  </si>
  <si>
    <t>Week of May 23, 2022</t>
  </si>
  <si>
    <t>Week of May 16, 2022</t>
  </si>
  <si>
    <t>Week of May 9, 2022</t>
  </si>
  <si>
    <t>Week of Apr 25, 2022</t>
  </si>
  <si>
    <t>Week of Apr 18, 2022</t>
  </si>
  <si>
    <t>Week of Apr 11, 2022</t>
  </si>
  <si>
    <t>Week of Apr 4, 2022</t>
  </si>
  <si>
    <t>Week of Mar 28, 2022</t>
  </si>
  <si>
    <t>Week of Mar 21, 2022</t>
  </si>
  <si>
    <t>Week of Mar 14, 2022</t>
  </si>
  <si>
    <t>Week of Mar 7, 2022</t>
  </si>
  <si>
    <t>Week of Feb 28, 2022</t>
  </si>
  <si>
    <t>Week of Feb 21, 2022</t>
  </si>
  <si>
    <t>Week of Feb 14, 2022</t>
  </si>
  <si>
    <t>Week of Feb 7, 2022</t>
  </si>
  <si>
    <t>Week of Jan 31, 2022</t>
  </si>
  <si>
    <t>Week of Jan 24, 2022</t>
  </si>
  <si>
    <t>Week of Jan 17, 2022</t>
  </si>
  <si>
    <t>Week of Jan 10, 2022</t>
  </si>
  <si>
    <t>Week of Jan 3, 2022</t>
  </si>
  <si>
    <t>Week of Dec 27, 2021</t>
  </si>
  <si>
    <t>Week of Dec 20, 2021</t>
  </si>
  <si>
    <t>Week of Dec 13, 2021</t>
  </si>
  <si>
    <t>Week of Dec 6, 2021</t>
  </si>
  <si>
    <t>Week of Nov 29, 2021</t>
  </si>
  <si>
    <t>Week of Nov 22, 2021</t>
  </si>
  <si>
    <t>Week of Nov 15, 2021</t>
  </si>
  <si>
    <t>Week of Nov 8, 2021</t>
  </si>
  <si>
    <t>Week of Nov 1, 2021</t>
  </si>
  <si>
    <t>Week of Oct 25, 2021</t>
  </si>
  <si>
    <t>Week of Oct 18, 2021</t>
  </si>
  <si>
    <t>Week of Oct 11, 2021</t>
  </si>
  <si>
    <t>Week of Oct 4, 2021</t>
  </si>
  <si>
    <t>Week of Sep 27, 2021</t>
  </si>
  <si>
    <t>Week of Sep 20, 2021</t>
  </si>
  <si>
    <t>Week of Sep 13, 2021</t>
  </si>
  <si>
    <t>Week of Sep 6, 2021</t>
  </si>
  <si>
    <t>Week of Aug 30, 2021</t>
  </si>
  <si>
    <t>Week of Aug 23, 2021</t>
  </si>
  <si>
    <t>Week of Aug 16, 2021</t>
  </si>
  <si>
    <t>Week of Aug 9, 2021</t>
  </si>
  <si>
    <t>Week of Aug 2, 2021</t>
  </si>
  <si>
    <t>Week of Jul 26, 2021</t>
  </si>
  <si>
    <t>Week of Jul 19, 2021</t>
  </si>
  <si>
    <t>Week of Jul 12, 2021</t>
  </si>
  <si>
    <t>Week of Jul 5, 2021</t>
  </si>
  <si>
    <t>Week of Jun 28, 2021</t>
  </si>
  <si>
    <t>Week of Jun 21, 2021</t>
  </si>
  <si>
    <t>Week of Jun 14, 2021</t>
  </si>
  <si>
    <t>Week of Jun 7, 2021</t>
  </si>
  <si>
    <t>Week of May 31, 2021</t>
  </si>
  <si>
    <t>Week of May 24, 2021</t>
  </si>
  <si>
    <t>Week of May 17, 2021</t>
  </si>
  <si>
    <t>Week of May 3, 2021</t>
  </si>
  <si>
    <t>Week of Apr 26, 2021</t>
  </si>
  <si>
    <t>Week of Apr 19, 2021</t>
  </si>
  <si>
    <t>Week of Apr 12, 2021</t>
  </si>
  <si>
    <t>Week of Apr 5, 2021</t>
  </si>
  <si>
    <t>Week of Mar 29, 2021</t>
  </si>
  <si>
    <t>Week of Mar 22, 2021</t>
  </si>
  <si>
    <t>Week of Mar 15, 2021</t>
  </si>
  <si>
    <t>Week of Mar 8, 2021</t>
  </si>
  <si>
    <t>Week of Mar 1, 2021</t>
  </si>
  <si>
    <t>Week of Feb 22, 2021</t>
  </si>
  <si>
    <t>Week of Feb 15, 2021</t>
  </si>
  <si>
    <t>Week of Feb 8, 2021</t>
  </si>
  <si>
    <t>Week of Feb 1, 2021</t>
  </si>
  <si>
    <t>Week of Jan 25, 2021</t>
  </si>
  <si>
    <t>Week of Jan 18, 2021</t>
  </si>
  <si>
    <t>Week of Jan 11, 2021</t>
  </si>
  <si>
    <t>Week of Jan 4, 2021</t>
  </si>
  <si>
    <t>Week of Dec 28, 2020</t>
  </si>
  <si>
    <t>Week of Dec 21, 2020</t>
  </si>
  <si>
    <t>Week of Dec 14, 2020</t>
  </si>
  <si>
    <t>Week of Dec 7, 2020</t>
  </si>
  <si>
    <t>Week of Nov 30, 2020</t>
  </si>
  <si>
    <t>Week of Nov 23, 2020</t>
  </si>
  <si>
    <t>Week of Nov 16, 2020</t>
  </si>
  <si>
    <t>Week of Nov 9, 2020</t>
  </si>
  <si>
    <t>Week of Nov 2, 2020</t>
  </si>
  <si>
    <t>Week of Oct 26, 2020</t>
  </si>
  <si>
    <t>Week of Oct 19, 2020</t>
  </si>
  <si>
    <t>Week of Oct 12, 2020</t>
  </si>
  <si>
    <t>Week of Oct 5, 2020</t>
  </si>
  <si>
    <t>Week of Sep 28, 2020</t>
  </si>
  <si>
    <t>Week of Sep 21, 2020</t>
  </si>
  <si>
    <t>Monthly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</si>
</sst>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1" formatCode="_-* #,##0_-;\-* #,##0_-;_-* &quot;-&quot;_-;_-@_-"/>
    <numFmt numFmtId="43" formatCode="_-* #,##0.00_-;\-* #,##0.00_-;_-* &quot;-&quot;??_-;_-@_-"/>
    <numFmt numFmtId="164" formatCode="_-* #,##0_-;\-* #,##0_-;_-* &quot;-&quot;??_-;_-@_-"/>
    <numFmt numFmtId="165" formatCode="0.0%"/>
    <numFmt numFmtId="166" formatCode="0.0000"/>
    <numFmt numFmtId="167" formatCode="&quot;$&quot;#,##0.00_);[Red]\(&quot;$&quot;#,##0.00\)"/>
    <numFmt numFmtId="168" formatCode="_(&quot;$&quot;* #,##0_);_(&quot;$&quot;* \(#,##0\);_(&quot;$&quot;* &quot;-&quot;_);_(@_)"/>
    <numFmt numFmtId="169" formatCode="_(&quot;$&quot;* #,##0.00_);_(&quot;$&quot;* \(#,##0.00\);_(&quot;$&quot;* &quot;-&quot;??_);_(@_)"/>
    <numFmt numFmtId="170" formatCode="0.0000%"/>
    <numFmt numFmtId="171" formatCode="[$-409]d\-mmm\-yy;@"/>
    <numFmt numFmtId="172" formatCode="_(* #,##0_);_(* \(#,##0\);_(* &quot;-&quot;??_);_(@_)"/>
    <numFmt numFmtId="173" formatCode="_([$€-2]* #,##0.00_);_([$€-2]* \(#,##0.00\);_([$€-2]* &quot;-&quot;??_)"/>
    <numFmt numFmtId="174" formatCode="mmm\ dd\,\ yyyy"/>
    <numFmt numFmtId="175" formatCode="#,##0.0"/>
    <numFmt numFmtId="176" formatCode="#,##0;\-#,##0;&quot;-&quot;"/>
    <numFmt numFmtId="177" formatCode="mm/dd/yy"/>
    <numFmt numFmtId="178" formatCode="0.0"/>
    <numFmt numFmtId="179" formatCode="[$-409]mmm\-yy;@"/>
    <numFmt numFmtId="180" formatCode="0_)"/>
    <numFmt numFmtId="181" formatCode="&quot;   &quot;@"/>
    <numFmt numFmtId="182" formatCode="&quot;      &quot;@"/>
    <numFmt numFmtId="183" formatCode="&quot;         &quot;@"/>
    <numFmt numFmtId="184" formatCode="&quot;            &quot;@"/>
    <numFmt numFmtId="185" formatCode="&quot;               &quot;@"/>
    <numFmt numFmtId="186" formatCode="[Black][&gt;0.05]#,##0.0;[Black][&lt;-0.05]\-#,##0.0;;"/>
    <numFmt numFmtId="187" formatCode="[Black][&gt;0.5]#,##0;[Black][&lt;-0.5]\-#,##0;;"/>
    <numFmt numFmtId="188" formatCode="\(mmmm\ d\,\ yyyy\)"/>
    <numFmt numFmtId="189" formatCode="0.000"/>
    <numFmt numFmtId="190" formatCode="m/d/yy\ h:mm"/>
    <numFmt numFmtId="191" formatCode="General_)"/>
    <numFmt numFmtId="192" formatCode="[Black]#,##0.0;[Black]\-#,##0.0;;"/>
    <numFmt numFmtId="193" formatCode="mmm\-yyyy"/>
    <numFmt numFmtId="194" formatCode="yyyy"/>
    <numFmt numFmtId="195" formatCode="0.000%"/>
    <numFmt numFmtId="196" formatCode="d\-mmm\-yy;@"/>
    <numFmt numFmtId="197" formatCode="0_);\(0\)"/>
  </numFmts>
  <fonts count="118">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i/>
      <sz val="11"/>
      <color theme="1"/>
      <name val="Aptos Narrow"/>
      <family val="2"/>
      <scheme val="minor"/>
    </font>
    <font>
      <b/>
      <sz val="12"/>
      <color theme="1"/>
      <name val="Aptos Narrow"/>
      <family val="2"/>
      <scheme val="minor"/>
    </font>
    <font>
      <sz val="10"/>
      <name val="Courier"/>
    </font>
    <font>
      <sz val="10"/>
      <name val="Arial"/>
      <family val="2"/>
    </font>
    <font>
      <vertAlign val="superscript"/>
      <sz val="11"/>
      <color theme="1"/>
      <name val="Aptos Narrow"/>
      <family val="2"/>
      <scheme val="minor"/>
    </font>
    <font>
      <b/>
      <i/>
      <sz val="11"/>
      <color theme="1"/>
      <name val="Aptos Narrow"/>
      <family val="2"/>
      <scheme val="minor"/>
    </font>
    <font>
      <b/>
      <sz val="11"/>
      <name val="Aptos Narrow"/>
      <family val="2"/>
      <scheme val="minor"/>
    </font>
    <font>
      <b/>
      <sz val="14"/>
      <color theme="1"/>
      <name val="Aptos Narrow"/>
      <family val="2"/>
      <scheme val="minor"/>
    </font>
    <font>
      <u/>
      <sz val="11"/>
      <color theme="10"/>
      <name val="Calibri"/>
      <family val="2"/>
    </font>
    <font>
      <sz val="10"/>
      <name val="Times New Roman"/>
      <family val="1"/>
    </font>
    <font>
      <sz val="11"/>
      <color indexed="8"/>
      <name val="Calibri"/>
      <family val="2"/>
    </font>
    <font>
      <sz val="8"/>
      <name val="Times New Roman"/>
      <family val="1"/>
    </font>
    <font>
      <b/>
      <sz val="10"/>
      <name val="Arial"/>
      <family val="2"/>
    </font>
    <font>
      <u/>
      <sz val="10"/>
      <color indexed="12"/>
      <name val="Arial"/>
      <family val="2"/>
    </font>
    <font>
      <sz val="10"/>
      <name val="MS Sans Serif"/>
      <family val="2"/>
    </font>
    <font>
      <sz val="12"/>
      <name val="Tms Rmn"/>
    </font>
    <font>
      <sz val="10"/>
      <color indexed="8"/>
      <name val="Arial"/>
      <family val="2"/>
    </font>
    <font>
      <b/>
      <sz val="9"/>
      <color indexed="12"/>
      <name val="Arial"/>
      <family val="2"/>
    </font>
    <font>
      <sz val="10"/>
      <name val="MS Serif"/>
      <family val="1"/>
    </font>
    <font>
      <i/>
      <sz val="9"/>
      <color indexed="8"/>
      <name val="Arial"/>
      <family val="2"/>
    </font>
    <font>
      <sz val="10"/>
      <color indexed="16"/>
      <name val="MS Serif"/>
      <family val="1"/>
    </font>
    <font>
      <b/>
      <sz val="9"/>
      <color indexed="20"/>
      <name val="Arial"/>
      <family val="2"/>
    </font>
    <font>
      <sz val="8"/>
      <name val="Arial"/>
      <family val="2"/>
    </font>
    <font>
      <b/>
      <sz val="12"/>
      <name val="Arial"/>
      <family val="2"/>
    </font>
    <font>
      <sz val="8"/>
      <color indexed="18"/>
      <name val="Arial"/>
      <family val="2"/>
    </font>
    <font>
      <sz val="8"/>
      <name val="Helv"/>
    </font>
    <font>
      <b/>
      <sz val="8"/>
      <color indexed="8"/>
      <name val="Helv"/>
    </font>
    <font>
      <sz val="9"/>
      <name val="Arial"/>
      <family val="2"/>
    </font>
    <font>
      <sz val="12"/>
      <name val="Times New Roman"/>
      <family val="1"/>
    </font>
    <font>
      <u/>
      <sz val="10"/>
      <color theme="10"/>
      <name val="Arial"/>
      <family val="2"/>
    </font>
    <font>
      <sz val="9"/>
      <name val="Times New Roman"/>
      <family val="1"/>
    </font>
    <font>
      <sz val="12"/>
      <name val="Helv"/>
    </font>
    <font>
      <u/>
      <sz val="12"/>
      <color indexed="12"/>
      <name val="Times New Roman"/>
      <family val="1"/>
    </font>
    <font>
      <b/>
      <sz val="10"/>
      <color indexed="8"/>
      <name val="Verdana"/>
      <family val="2"/>
    </font>
    <font>
      <b/>
      <i/>
      <sz val="10"/>
      <color indexed="8"/>
      <name val="Verdana"/>
      <family val="2"/>
    </font>
    <font>
      <sz val="11"/>
      <color indexed="8"/>
      <name val="Verdana"/>
      <family val="2"/>
    </font>
    <font>
      <b/>
      <sz val="13"/>
      <color indexed="9"/>
      <name val="Verdana"/>
      <family val="2"/>
    </font>
    <font>
      <b/>
      <sz val="10"/>
      <color indexed="54"/>
      <name val="Verdana"/>
      <family val="2"/>
    </font>
    <font>
      <sz val="11"/>
      <color indexed="8"/>
      <name val="Arial"/>
      <family val="2"/>
    </font>
    <font>
      <sz val="12"/>
      <color indexed="24"/>
      <name val="Arial"/>
      <family val="2"/>
    </font>
    <font>
      <b/>
      <sz val="12"/>
      <color indexed="24"/>
      <name val="Arial"/>
      <family val="2"/>
    </font>
    <font>
      <b/>
      <sz val="11"/>
      <color indexed="8"/>
      <name val="Calibri"/>
      <family val="2"/>
    </font>
    <font>
      <sz val="14"/>
      <name val="Times New Roman"/>
      <family val="1"/>
    </font>
    <font>
      <sz val="11"/>
      <color indexed="9"/>
      <name val="Calibri"/>
      <family val="2"/>
    </font>
    <font>
      <sz val="11"/>
      <color indexed="20"/>
      <name val="Calibri"/>
      <family val="2"/>
    </font>
    <font>
      <sz val="11"/>
      <color indexed="16"/>
      <name val="Calibri"/>
      <family val="2"/>
    </font>
    <font>
      <b/>
      <sz val="11"/>
      <color indexed="52"/>
      <name val="Calibri"/>
      <family val="2"/>
    </font>
    <font>
      <b/>
      <sz val="11"/>
      <color indexed="53"/>
      <name val="Calibri"/>
      <family val="2"/>
    </font>
    <font>
      <b/>
      <sz val="11"/>
      <color indexed="9"/>
      <name val="Calibri"/>
      <family val="2"/>
    </font>
    <font>
      <sz val="10"/>
      <color theme="1"/>
      <name val="Arial"/>
      <family val="2"/>
    </font>
    <font>
      <i/>
      <sz val="11"/>
      <color indexed="23"/>
      <name val="Calibri"/>
      <family val="2"/>
    </font>
    <font>
      <u/>
      <sz val="10"/>
      <color rgb="FF001F4B"/>
      <name val="Times New Roman"/>
      <family val="1"/>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u/>
      <sz val="10"/>
      <color indexed="12"/>
      <name val="MS Sans Serif"/>
      <family val="2"/>
    </font>
    <font>
      <u/>
      <sz val="10"/>
      <color indexed="36"/>
      <name val="MS Sans Serif"/>
      <family val="2"/>
    </font>
    <font>
      <sz val="11"/>
      <color indexed="52"/>
      <name val="Calibri"/>
      <family val="2"/>
    </font>
    <font>
      <sz val="11"/>
      <color indexed="53"/>
      <name val="Calibri"/>
      <family val="2"/>
    </font>
    <font>
      <sz val="11"/>
      <color indexed="60"/>
      <name val="Calibri"/>
      <family val="2"/>
    </font>
    <font>
      <sz val="8"/>
      <color theme="1"/>
      <name val="Times New Roman"/>
      <family val="2"/>
    </font>
    <font>
      <sz val="10"/>
      <color theme="1"/>
      <name val="Times New Roman"/>
      <family val="2"/>
    </font>
    <font>
      <sz val="12"/>
      <color theme="1"/>
      <name val="Garamond"/>
      <family val="2"/>
    </font>
    <font>
      <sz val="12"/>
      <name val="Arial"/>
      <family val="2"/>
    </font>
    <font>
      <b/>
      <sz val="11"/>
      <color indexed="63"/>
      <name val="Calibri"/>
      <family val="2"/>
    </font>
    <font>
      <b/>
      <sz val="18"/>
      <color indexed="62"/>
      <name val="Cambria"/>
      <family val="2"/>
    </font>
    <font>
      <i/>
      <sz val="8"/>
      <name val="Tms Rmn"/>
    </font>
    <font>
      <b/>
      <sz val="18"/>
      <color indexed="56"/>
      <name val="Cambria"/>
      <family val="2"/>
    </font>
    <font>
      <b/>
      <sz val="8"/>
      <name val="Tms Rmn"/>
    </font>
    <font>
      <sz val="11"/>
      <color indexed="10"/>
      <name val="Calibri"/>
      <family val="2"/>
    </font>
    <font>
      <sz val="16"/>
      <name val="AngsanaUPC"/>
      <family val="1"/>
    </font>
    <font>
      <sz val="11"/>
      <name val="ＭＳ Ｐゴシック"/>
      <family val="3"/>
      <charset val="128"/>
    </font>
    <font>
      <sz val="11"/>
      <color theme="1"/>
      <name val="Calibri"/>
      <family val="2"/>
    </font>
    <font>
      <sz val="10"/>
      <name val="MS Sans Serif"/>
    </font>
    <font>
      <sz val="10"/>
      <color rgb="FF000000"/>
      <name val="Times New Roman"/>
      <family val="1"/>
    </font>
    <font>
      <b/>
      <sz val="14"/>
      <name val="Arial"/>
      <family val="2"/>
    </font>
    <font>
      <b/>
      <u/>
      <sz val="14"/>
      <color rgb="FF003300"/>
      <name val="Arial"/>
      <family val="2"/>
    </font>
    <font>
      <b/>
      <u/>
      <sz val="12"/>
      <color rgb="FF003300"/>
      <name val="Arial"/>
      <family val="2"/>
    </font>
    <font>
      <b/>
      <u/>
      <sz val="10"/>
      <color rgb="FF003300"/>
      <name val="Arial"/>
      <family val="2"/>
    </font>
    <font>
      <i/>
      <sz val="10"/>
      <name val="Arial"/>
      <family val="2"/>
    </font>
    <font>
      <sz val="10"/>
      <name val="Arial MT"/>
    </font>
    <font>
      <sz val="10"/>
      <name val="Arial MT"/>
      <family val="2"/>
    </font>
    <font>
      <vertAlign val="superscript"/>
      <sz val="10"/>
      <name val="Arial MT"/>
      <family val="2"/>
    </font>
    <font>
      <sz val="10"/>
      <color rgb="FF000000"/>
      <name val="Arial MT"/>
      <family val="2"/>
    </font>
    <font>
      <b/>
      <sz val="10"/>
      <color rgb="FF000000"/>
      <name val="Arial"/>
      <family val="2"/>
    </font>
    <font>
      <b/>
      <u/>
      <sz val="10"/>
      <name val="Arial"/>
      <family val="2"/>
    </font>
    <font>
      <sz val="11"/>
      <name val="Calibri"/>
      <family val="2"/>
    </font>
    <font>
      <sz val="11"/>
      <name val="Calibri"/>
      <family val="1"/>
    </font>
    <font>
      <sz val="11"/>
      <color rgb="FF000000"/>
      <name val="Calibri"/>
      <family val="2"/>
    </font>
    <font>
      <i/>
      <sz val="9"/>
      <name val="Arial"/>
      <family val="2"/>
    </font>
    <font>
      <b/>
      <sz val="9"/>
      <name val="Arial"/>
      <family val="2"/>
    </font>
    <font>
      <b/>
      <sz val="10"/>
      <color rgb="FF000000"/>
      <name val="Times New Roman"/>
      <family val="1"/>
    </font>
    <font>
      <sz val="10"/>
      <color rgb="FF000000"/>
      <name val="Times New Roman"/>
      <family val="1"/>
    </font>
    <font>
      <b/>
      <sz val="7"/>
      <name val="Calibri"/>
      <family val="2"/>
    </font>
    <font>
      <sz val="7"/>
      <name val="Calibri"/>
      <family val="2"/>
    </font>
    <font>
      <sz val="7"/>
      <color rgb="FF000000"/>
      <name val="Calibri"/>
      <family val="2"/>
    </font>
    <font>
      <b/>
      <sz val="6.5"/>
      <name val="Calibri"/>
      <family val="2"/>
    </font>
    <font>
      <sz val="6.5"/>
      <name val="Calibri"/>
      <family val="2"/>
    </font>
    <font>
      <sz val="6.5"/>
      <color rgb="FF000000"/>
      <name val="Calibri"/>
      <family val="2"/>
    </font>
    <font>
      <b/>
      <sz val="7"/>
      <name val="Calibri"/>
      <family val="1"/>
    </font>
    <font>
      <b/>
      <vertAlign val="superscript"/>
      <sz val="7"/>
      <name val="Calibri"/>
      <family val="1"/>
    </font>
    <font>
      <sz val="7"/>
      <name val="Calibri"/>
      <family val="1"/>
    </font>
    <font>
      <b/>
      <sz val="6.5"/>
      <name val="Calibri"/>
      <family val="1"/>
    </font>
    <font>
      <sz val="6.5"/>
      <name val="Calibri"/>
      <family val="1"/>
    </font>
    <font>
      <sz val="9"/>
      <color indexed="81"/>
      <name val="Tahoma"/>
      <family val="2"/>
    </font>
    <font>
      <b/>
      <sz val="9"/>
      <color indexed="81"/>
      <name val="Tahoma"/>
      <family val="2"/>
    </font>
    <font>
      <sz val="9"/>
      <color indexed="81"/>
      <name val="Tahoma"/>
      <charset val="1"/>
    </font>
    <font>
      <b/>
      <sz val="9"/>
      <color indexed="81"/>
      <name val="Tahoma"/>
      <charset val="1"/>
    </font>
  </fonts>
  <fills count="57">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CC"/>
      </patternFill>
    </fill>
    <fill>
      <patternFill patternType="solid">
        <fgColor theme="7" tint="0.79998168889431442"/>
        <bgColor indexed="65"/>
      </patternFill>
    </fill>
    <fill>
      <patternFill patternType="solid">
        <fgColor indexed="22"/>
        <bgColor indexed="64"/>
      </patternFill>
    </fill>
    <fill>
      <patternFill patternType="solid">
        <fgColor theme="0" tint="-0.249977111117893"/>
        <bgColor indexed="64"/>
      </patternFill>
    </fill>
    <fill>
      <patternFill patternType="solid">
        <fgColor indexed="26"/>
        <bgColor indexed="64"/>
      </patternFill>
    </fill>
    <fill>
      <patternFill patternType="solid">
        <fgColor indexed="9"/>
        <bgColor indexed="64"/>
      </patternFill>
    </fill>
    <fill>
      <patternFill patternType="solid">
        <fgColor indexed="2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54"/>
        <bgColor indexed="5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25"/>
        <bgColor indexed="25"/>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3"/>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9"/>
        <bgColor indexed="9"/>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patternFill>
    </fill>
    <fill>
      <patternFill patternType="solid">
        <fgColor indexed="43"/>
        <bgColor indexed="43"/>
      </patternFill>
    </fill>
    <fill>
      <patternFill patternType="solid">
        <fgColor indexed="26"/>
      </patternFill>
    </fill>
    <fill>
      <patternFill patternType="solid">
        <fgColor indexed="31"/>
        <bgColor indexed="8"/>
      </patternFill>
    </fill>
    <fill>
      <patternFill patternType="solid">
        <fgColor indexed="43"/>
        <bgColor indexed="8"/>
      </patternFill>
    </fill>
    <fill>
      <patternFill patternType="solid">
        <fgColor rgb="FFC0C0C0"/>
      </patternFill>
    </fill>
    <fill>
      <patternFill patternType="solid">
        <fgColor rgb="FFD9D9D9"/>
      </patternFill>
    </fill>
    <fill>
      <patternFill patternType="solid">
        <fgColor theme="0" tint="-0.149998474074526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39"/>
      </top>
      <bottom/>
      <diagonal/>
    </border>
    <border>
      <left style="medium">
        <color indexed="39"/>
      </left>
      <right/>
      <top style="medium">
        <color indexed="39"/>
      </top>
      <bottom/>
      <diagonal/>
    </border>
    <border>
      <left/>
      <right/>
      <top style="thin">
        <color indexed="62"/>
      </top>
      <bottom style="double">
        <color indexed="62"/>
      </bottom>
      <diagonal/>
    </border>
    <border>
      <left/>
      <right/>
      <top style="thin">
        <color indexed="54"/>
      </top>
      <bottom style="double">
        <color indexed="5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top/>
      <bottom/>
      <diagonal/>
    </border>
  </borders>
  <cellStyleXfs count="752">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43" fontId="8" fillId="0" borderId="0" applyFont="0" applyFill="0" applyBorder="0" applyAlignment="0" applyProtection="0"/>
    <xf numFmtId="9" fontId="8" fillId="0" borderId="0" applyFont="0" applyFill="0" applyBorder="0" applyAlignment="0" applyProtection="0"/>
    <xf numFmtId="0" fontId="14" fillId="0" borderId="0"/>
    <xf numFmtId="43" fontId="14" fillId="0" borderId="0" applyFont="0" applyFill="0" applyBorder="0" applyAlignment="0" applyProtection="0"/>
    <xf numFmtId="43" fontId="15" fillId="0" borderId="0" applyFont="0" applyFill="0" applyBorder="0" applyAlignment="0" applyProtection="0"/>
    <xf numFmtId="173" fontId="8" fillId="0" borderId="0" applyFont="0" applyFill="0" applyBorder="0" applyAlignment="0" applyProtection="0"/>
    <xf numFmtId="0" fontId="1" fillId="0" borderId="0"/>
    <xf numFmtId="0" fontId="1" fillId="0" borderId="0"/>
    <xf numFmtId="0" fontId="14" fillId="0" borderId="0"/>
    <xf numFmtId="0" fontId="8" fillId="0" borderId="0"/>
    <xf numFmtId="43" fontId="8" fillId="0" borderId="0" applyFont="0" applyFill="0" applyBorder="0" applyAlignment="0" applyProtection="0"/>
    <xf numFmtId="0" fontId="1" fillId="0" borderId="0"/>
    <xf numFmtId="0" fontId="15" fillId="5" borderId="18" applyNumberFormat="0" applyFont="0" applyAlignment="0" applyProtection="0"/>
    <xf numFmtId="174" fontId="8" fillId="0" borderId="0" applyFill="0" applyBorder="0" applyAlignment="0" applyProtection="0">
      <alignment wrapText="1"/>
    </xf>
    <xf numFmtId="0" fontId="17" fillId="0" borderId="0" applyNumberFormat="0" applyFill="0" applyBorder="0">
      <alignment horizontal="center" wrapText="1"/>
    </xf>
    <xf numFmtId="0" fontId="17" fillId="0" borderId="0" applyNumberFormat="0" applyFill="0" applyBorder="0">
      <alignment horizontal="center" wrapText="1"/>
    </xf>
    <xf numFmtId="0" fontId="1" fillId="0" borderId="0"/>
    <xf numFmtId="0" fontId="1" fillId="0" borderId="0"/>
    <xf numFmtId="43" fontId="15" fillId="0" borderId="0" applyFont="0" applyFill="0" applyBorder="0" applyAlignment="0" applyProtection="0"/>
    <xf numFmtId="0" fontId="16" fillId="0" borderId="0"/>
    <xf numFmtId="0" fontId="8" fillId="0" borderId="0"/>
    <xf numFmtId="0" fontId="16" fillId="0" borderId="0"/>
    <xf numFmtId="0" fontId="18" fillId="0" borderId="0" applyNumberFormat="0" applyFill="0" applyBorder="0" applyAlignment="0" applyProtection="0">
      <alignment vertical="top"/>
      <protection locked="0"/>
    </xf>
    <xf numFmtId="43" fontId="1" fillId="0" borderId="0" applyFont="0" applyFill="0" applyBorder="0" applyAlignment="0" applyProtection="0"/>
    <xf numFmtId="43" fontId="16" fillId="0" borderId="0" applyFont="0" applyFill="0" applyBorder="0" applyAlignment="0" applyProtection="0"/>
    <xf numFmtId="43" fontId="8" fillId="0" borderId="0" applyFont="0" applyFill="0" applyBorder="0" applyAlignment="0" applyProtection="0"/>
    <xf numFmtId="0" fontId="1" fillId="0" borderId="0"/>
    <xf numFmtId="0" fontId="16" fillId="0" borderId="0"/>
    <xf numFmtId="0" fontId="8" fillId="0" borderId="0"/>
    <xf numFmtId="0" fontId="8" fillId="0" borderId="0"/>
    <xf numFmtId="0" fontId="8" fillId="0" borderId="0"/>
    <xf numFmtId="43" fontId="8" fillId="0" borderId="0" applyFont="0" applyFill="0" applyBorder="0" applyAlignment="0" applyProtection="0"/>
    <xf numFmtId="0" fontId="8" fillId="0" borderId="0"/>
    <xf numFmtId="0" fontId="8" fillId="0" borderId="0"/>
    <xf numFmtId="0" fontId="8" fillId="0" borderId="0"/>
    <xf numFmtId="0" fontId="1" fillId="0" borderId="0"/>
    <xf numFmtId="0" fontId="20" fillId="0" borderId="0" applyNumberFormat="0" applyFill="0" applyBorder="0" applyAlignment="0" applyProtection="0"/>
    <xf numFmtId="176" fontId="21" fillId="0" borderId="0" applyFill="0" applyBorder="0" applyAlignment="0"/>
    <xf numFmtId="43" fontId="8" fillId="0" borderId="0" applyFont="0" applyFill="0" applyBorder="0" applyAlignment="0" applyProtection="0"/>
    <xf numFmtId="0" fontId="22" fillId="7" borderId="0" applyFill="0" applyBorder="0"/>
    <xf numFmtId="0" fontId="23" fillId="0" borderId="0" applyNumberFormat="0" applyAlignment="0">
      <alignment horizontal="left"/>
    </xf>
    <xf numFmtId="0" fontId="24" fillId="7" borderId="0"/>
    <xf numFmtId="0" fontId="25" fillId="0" borderId="0" applyNumberFormat="0" applyAlignment="0">
      <alignment horizontal="left"/>
    </xf>
    <xf numFmtId="0" fontId="26" fillId="0" borderId="0" applyFill="0" applyAlignment="0"/>
    <xf numFmtId="38" fontId="27" fillId="7" borderId="0" applyNumberFormat="0" applyBorder="0" applyAlignment="0" applyProtection="0"/>
    <xf numFmtId="0" fontId="28" fillId="0" borderId="19" applyNumberFormat="0" applyAlignment="0" applyProtection="0">
      <alignment horizontal="left" vertical="center"/>
    </xf>
    <xf numFmtId="0" fontId="28" fillId="0" borderId="17">
      <alignment horizontal="left" vertical="center"/>
    </xf>
    <xf numFmtId="10" fontId="27" fillId="9" borderId="1" applyNumberFormat="0" applyBorder="0" applyAlignment="0" applyProtection="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alignment wrapText="1"/>
    </xf>
    <xf numFmtId="10" fontId="8" fillId="0" borderId="0" applyFont="0" applyFill="0" applyBorder="0" applyAlignment="0" applyProtection="0"/>
    <xf numFmtId="177" fontId="30" fillId="0" borderId="0" applyNumberFormat="0" applyFill="0" applyBorder="0" applyAlignment="0" applyProtection="0">
      <alignment horizontal="left"/>
    </xf>
    <xf numFmtId="40" fontId="31" fillId="0" borderId="0" applyBorder="0">
      <alignment horizontal="right"/>
    </xf>
    <xf numFmtId="0" fontId="32" fillId="7" borderId="0" applyFont="0" applyFill="0">
      <alignment horizontal="center"/>
    </xf>
    <xf numFmtId="0" fontId="8" fillId="0" borderId="0"/>
    <xf numFmtId="0" fontId="8" fillId="0" borderId="0"/>
    <xf numFmtId="0" fontId="8" fillId="0" borderId="0"/>
    <xf numFmtId="0" fontId="34" fillId="0" borderId="0" applyNumberFormat="0" applyFill="0" applyBorder="0" applyAlignment="0" applyProtection="0">
      <alignment vertical="top"/>
      <protection locked="0"/>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37" fillId="0" borderId="0" applyNumberFormat="0" applyFill="0" applyBorder="0" applyAlignment="0" applyProtection="0">
      <alignment vertical="top"/>
      <protection locked="0"/>
    </xf>
    <xf numFmtId="0" fontId="8" fillId="0" borderId="0"/>
    <xf numFmtId="181" fontId="35" fillId="0" borderId="0" applyFont="0" applyFill="0" applyBorder="0" applyAlignment="0" applyProtection="0"/>
    <xf numFmtId="182" fontId="35" fillId="0" borderId="0" applyFont="0" applyFill="0" applyBorder="0" applyAlignment="0" applyProtection="0"/>
    <xf numFmtId="183" fontId="35" fillId="0" borderId="0" applyFont="0" applyFill="0" applyBorder="0" applyAlignment="0" applyProtection="0"/>
    <xf numFmtId="184" fontId="35" fillId="0" borderId="0" applyFont="0" applyFill="0" applyBorder="0" applyAlignment="0" applyProtection="0"/>
    <xf numFmtId="185" fontId="35" fillId="0" borderId="0" applyFont="0" applyFill="0" applyBorder="0" applyAlignment="0" applyProtection="0"/>
    <xf numFmtId="1" fontId="38" fillId="10" borderId="1">
      <alignment horizontal="right" vertical="center"/>
    </xf>
    <xf numFmtId="0" fontId="39" fillId="10" borderId="1">
      <alignment horizontal="right" vertical="center"/>
    </xf>
    <xf numFmtId="0" fontId="8" fillId="10" borderId="20"/>
    <xf numFmtId="0" fontId="38" fillId="7" borderId="1">
      <alignment horizontal="center" vertical="center"/>
    </xf>
    <xf numFmtId="1" fontId="38" fillId="10" borderId="1">
      <alignment horizontal="right" vertical="center"/>
    </xf>
    <xf numFmtId="0" fontId="8" fillId="10" borderId="0"/>
    <xf numFmtId="0" fontId="40" fillId="10" borderId="1">
      <alignment horizontal="left" vertical="center"/>
    </xf>
    <xf numFmtId="0" fontId="40" fillId="10" borderId="1"/>
    <xf numFmtId="0" fontId="39" fillId="10" borderId="1">
      <alignment horizontal="right" vertical="center"/>
    </xf>
    <xf numFmtId="0" fontId="41" fillId="11" borderId="1">
      <alignment horizontal="left" vertical="center"/>
    </xf>
    <xf numFmtId="0" fontId="41" fillId="11" borderId="1">
      <alignment horizontal="left" vertical="center"/>
    </xf>
    <xf numFmtId="0" fontId="42" fillId="10" borderId="1">
      <alignment horizontal="left" vertical="center"/>
    </xf>
    <xf numFmtId="0" fontId="43" fillId="10" borderId="20"/>
    <xf numFmtId="0" fontId="38" fillId="9" borderId="1">
      <alignment horizontal="left" vertical="center"/>
    </xf>
    <xf numFmtId="0" fontId="44" fillId="0" borderId="0" applyProtection="0"/>
    <xf numFmtId="2" fontId="44" fillId="0" borderId="0" applyProtection="0"/>
    <xf numFmtId="0" fontId="44" fillId="0" borderId="0" applyNumberFormat="0" applyFont="0" applyFill="0" applyBorder="0" applyAlignment="0" applyProtection="0"/>
    <xf numFmtId="0" fontId="45" fillId="0" borderId="0" applyProtection="0"/>
    <xf numFmtId="175" fontId="35" fillId="0" borderId="0" applyFont="0" applyFill="0" applyBorder="0" applyAlignment="0" applyProtection="0"/>
    <xf numFmtId="3" fontId="35" fillId="0" borderId="0" applyFont="0" applyFill="0" applyBorder="0" applyAlignment="0" applyProtection="0"/>
    <xf numFmtId="186" fontId="35" fillId="0" borderId="0" applyFont="0" applyFill="0" applyBorder="0" applyAlignment="0" applyProtection="0"/>
    <xf numFmtId="187" fontId="35" fillId="0" borderId="0" applyFont="0" applyFill="0" applyBorder="0" applyAlignment="0" applyProtection="0"/>
    <xf numFmtId="0" fontId="14" fillId="0" borderId="0"/>
    <xf numFmtId="0" fontId="14" fillId="0" borderId="0"/>
    <xf numFmtId="0" fontId="8" fillId="0" borderId="0"/>
    <xf numFmtId="0" fontId="13" fillId="0" borderId="0" applyNumberFormat="0" applyFill="0" applyBorder="0" applyAlignment="0" applyProtection="0">
      <alignment vertical="top"/>
      <protection locked="0"/>
    </xf>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 fillId="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15" fillId="21"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0"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48" fillId="25" borderId="0" applyNumberFormat="0" applyBorder="0" applyAlignment="0" applyProtection="0"/>
    <xf numFmtId="0" fontId="48" fillId="25" borderId="0" applyNumberFormat="0" applyBorder="0" applyAlignment="0" applyProtection="0"/>
    <xf numFmtId="0" fontId="48" fillId="25"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48" fillId="28" borderId="0" applyNumberFormat="0" applyBorder="0" applyAlignment="0" applyProtection="0"/>
    <xf numFmtId="0" fontId="48"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48" fillId="32" borderId="0" applyNumberFormat="0" applyBorder="0" applyAlignment="0" applyProtection="0"/>
    <xf numFmtId="0" fontId="48" fillId="33" borderId="0" applyNumberFormat="0" applyBorder="0" applyAlignment="0" applyProtection="0"/>
    <xf numFmtId="0" fontId="48" fillId="33" borderId="0" applyNumberFormat="0" applyBorder="0" applyAlignment="0" applyProtection="0"/>
    <xf numFmtId="0" fontId="48" fillId="33" borderId="0" applyNumberFormat="0" applyBorder="0" applyAlignment="0" applyProtection="0"/>
    <xf numFmtId="0" fontId="48" fillId="34" borderId="0" applyNumberFormat="0" applyBorder="0" applyAlignment="0" applyProtection="0"/>
    <xf numFmtId="0" fontId="15" fillId="30" borderId="0" applyNumberFormat="0" applyBorder="0" applyAlignment="0" applyProtection="0"/>
    <xf numFmtId="0" fontId="15" fillId="35" borderId="0" applyNumberFormat="0" applyBorder="0" applyAlignment="0" applyProtection="0"/>
    <xf numFmtId="0" fontId="48" fillId="31"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6" borderId="0" applyNumberFormat="0" applyBorder="0" applyAlignment="0" applyProtection="0"/>
    <xf numFmtId="0" fontId="48" fillId="32" borderId="0" applyNumberFormat="0" applyBorder="0" applyAlignment="0" applyProtection="0"/>
    <xf numFmtId="0" fontId="15" fillId="26" borderId="0" applyNumberFormat="0" applyBorder="0" applyAlignment="0" applyProtection="0"/>
    <xf numFmtId="0" fontId="15" fillId="31" borderId="0" applyNumberFormat="0" applyBorder="0" applyAlignment="0" applyProtection="0"/>
    <xf numFmtId="0" fontId="48" fillId="31"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48" fillId="29" borderId="0" applyNumberFormat="0" applyBorder="0" applyAlignment="0" applyProtection="0"/>
    <xf numFmtId="0" fontId="15" fillId="37" borderId="0" applyNumberFormat="0" applyBorder="0" applyAlignment="0" applyProtection="0"/>
    <xf numFmtId="0" fontId="15" fillId="26" borderId="0" applyNumberFormat="0" applyBorder="0" applyAlignment="0" applyProtection="0"/>
    <xf numFmtId="0" fontId="48" fillId="27"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24" borderId="0" applyNumberFormat="0" applyBorder="0" applyAlignment="0" applyProtection="0"/>
    <xf numFmtId="0" fontId="48" fillId="38" borderId="0" applyNumberFormat="0" applyBorder="0" applyAlignment="0" applyProtection="0"/>
    <xf numFmtId="0" fontId="15" fillId="30" borderId="0" applyNumberFormat="0" applyBorder="0" applyAlignment="0" applyProtection="0"/>
    <xf numFmtId="0" fontId="15" fillId="39"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0" borderId="0" applyNumberFormat="0" applyBorder="0" applyAlignment="0" applyProtection="0"/>
    <xf numFmtId="0" fontId="48" fillId="41" borderId="0" applyNumberFormat="0" applyBorder="0" applyAlignment="0" applyProtection="0"/>
    <xf numFmtId="0" fontId="14" fillId="0" borderId="17">
      <alignment horizontal="center" vertical="center"/>
    </xf>
    <xf numFmtId="0" fontId="49" fillId="13" borderId="0" applyNumberFormat="0" applyBorder="0" applyAlignment="0" applyProtection="0"/>
    <xf numFmtId="0" fontId="49" fillId="13" borderId="0" applyNumberFormat="0" applyBorder="0" applyAlignment="0" applyProtection="0"/>
    <xf numFmtId="0" fontId="49" fillId="13" borderId="0" applyNumberFormat="0" applyBorder="0" applyAlignment="0" applyProtection="0"/>
    <xf numFmtId="0" fontId="50" fillId="42" borderId="0" applyNumberFormat="0" applyBorder="0" applyAlignment="0" applyProtection="0"/>
    <xf numFmtId="0" fontId="51" fillId="43" borderId="21" applyNumberFormat="0" applyAlignment="0" applyProtection="0"/>
    <xf numFmtId="0" fontId="51" fillId="43" borderId="21" applyNumberFormat="0" applyAlignment="0" applyProtection="0"/>
    <xf numFmtId="0" fontId="51" fillId="43" borderId="21" applyNumberFormat="0" applyAlignment="0" applyProtection="0"/>
    <xf numFmtId="0" fontId="52" fillId="44" borderId="21" applyNumberFormat="0" applyAlignment="0" applyProtection="0"/>
    <xf numFmtId="0" fontId="53" fillId="45" borderId="22" applyNumberFormat="0" applyAlignment="0" applyProtection="0"/>
    <xf numFmtId="0" fontId="53" fillId="45" borderId="22" applyNumberFormat="0" applyAlignment="0" applyProtection="0"/>
    <xf numFmtId="0" fontId="53" fillId="45" borderId="22" applyNumberFormat="0" applyAlignment="0" applyProtection="0"/>
    <xf numFmtId="0" fontId="53" fillId="32" borderId="22" applyNumberFormat="0" applyAlignment="0" applyProtection="0"/>
    <xf numFmtId="43" fontId="1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88" fontId="47" fillId="0" borderId="0" applyFont="0" applyFill="0" applyBorder="0" applyAlignment="0" applyProtection="0"/>
    <xf numFmtId="43" fontId="14" fillId="0" borderId="0" applyFont="0" applyFill="0" applyBorder="0" applyAlignment="0" applyProtection="0"/>
    <xf numFmtId="43" fontId="1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54" fillId="0" borderId="0" applyFont="0" applyFill="0" applyBorder="0" applyAlignment="0" applyProtection="0"/>
    <xf numFmtId="43" fontId="1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89" fontId="47" fillId="0" borderId="0" applyFont="0" applyFill="0" applyBorder="0" applyAlignment="0" applyProtection="0"/>
    <xf numFmtId="43" fontId="1" fillId="0" borderId="0" applyFont="0" applyFill="0" applyBorder="0" applyAlignment="0" applyProtection="0"/>
    <xf numFmtId="0" fontId="22" fillId="7" borderId="0" applyFill="0" applyBorder="0"/>
    <xf numFmtId="0" fontId="23" fillId="0" borderId="0" applyNumberFormat="0" applyAlignment="0">
      <alignment horizontal="left"/>
    </xf>
    <xf numFmtId="169" fontId="8" fillId="0" borderId="0" applyFont="0" applyFill="0" applyBorder="0" applyAlignment="0" applyProtection="0"/>
    <xf numFmtId="190" fontId="8" fillId="0" borderId="0" applyFont="0" applyFill="0" applyBorder="0" applyAlignment="0" applyProtection="0">
      <alignment wrapText="1"/>
    </xf>
    <xf numFmtId="190" fontId="8" fillId="0" borderId="0" applyFont="0" applyFill="0" applyBorder="0" applyAlignment="0" applyProtection="0">
      <alignment wrapText="1"/>
    </xf>
    <xf numFmtId="190" fontId="8" fillId="0" borderId="0" applyFont="0" applyFill="0" applyBorder="0" applyAlignment="0" applyProtection="0">
      <alignment wrapText="1"/>
    </xf>
    <xf numFmtId="0" fontId="24" fillId="7" borderId="0"/>
    <xf numFmtId="178" fontId="14" fillId="0" borderId="0" applyBorder="0"/>
    <xf numFmtId="178" fontId="14" fillId="0" borderId="7"/>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25" fillId="0" borderId="0" applyNumberFormat="0" applyAlignment="0">
      <alignment horizontal="left"/>
    </xf>
    <xf numFmtId="191" fontId="36" fillId="0" borderId="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6" fillId="0" borderId="0" applyFill="0" applyAlignment="0"/>
    <xf numFmtId="0" fontId="56" fillId="0" borderId="0" applyNumberFormat="0" applyFill="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35" borderId="0" applyNumberFormat="0" applyBorder="0" applyAlignment="0" applyProtection="0"/>
    <xf numFmtId="0" fontId="17" fillId="0" borderId="0"/>
    <xf numFmtId="0" fontId="17" fillId="0" borderId="0">
      <alignment horizontal="left" indent="1"/>
    </xf>
    <xf numFmtId="0" fontId="8" fillId="0" borderId="0">
      <alignment horizontal="left" indent="2"/>
    </xf>
    <xf numFmtId="0" fontId="8" fillId="0" borderId="0">
      <alignment horizontal="left" indent="3"/>
    </xf>
    <xf numFmtId="0" fontId="8" fillId="0" borderId="0">
      <alignment horizontal="left" indent="4"/>
    </xf>
    <xf numFmtId="0" fontId="58" fillId="0" borderId="23" applyNumberFormat="0" applyFill="0" applyAlignment="0" applyProtection="0"/>
    <xf numFmtId="0" fontId="58" fillId="0" borderId="23" applyNumberFormat="0" applyFill="0" applyAlignment="0" applyProtection="0"/>
    <xf numFmtId="0" fontId="58" fillId="0" borderId="23" applyNumberFormat="0" applyFill="0" applyAlignment="0" applyProtection="0"/>
    <xf numFmtId="0" fontId="59" fillId="0" borderId="24" applyNumberFormat="0" applyFill="0" applyAlignment="0" applyProtection="0"/>
    <xf numFmtId="0" fontId="60" fillId="0" borderId="25" applyNumberFormat="0" applyFill="0" applyAlignment="0" applyProtection="0"/>
    <xf numFmtId="0" fontId="60" fillId="0" borderId="25" applyNumberFormat="0" applyFill="0" applyAlignment="0" applyProtection="0"/>
    <xf numFmtId="0" fontId="60" fillId="0" borderId="25" applyNumberFormat="0" applyFill="0" applyAlignment="0" applyProtection="0"/>
    <xf numFmtId="0" fontId="61" fillId="0" borderId="25" applyNumberFormat="0" applyFill="0" applyAlignment="0" applyProtection="0"/>
    <xf numFmtId="0" fontId="62" fillId="0" borderId="26" applyNumberFormat="0" applyFill="0" applyAlignment="0" applyProtection="0"/>
    <xf numFmtId="0" fontId="62" fillId="0" borderId="26" applyNumberFormat="0" applyFill="0" applyAlignment="0" applyProtection="0"/>
    <xf numFmtId="0" fontId="62" fillId="0" borderId="26" applyNumberFormat="0" applyFill="0" applyAlignment="0" applyProtection="0"/>
    <xf numFmtId="0" fontId="63" fillId="0" borderId="2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17" borderId="21" applyNumberFormat="0" applyAlignment="0" applyProtection="0"/>
    <xf numFmtId="0" fontId="64" fillId="17" borderId="21" applyNumberFormat="0" applyAlignment="0" applyProtection="0"/>
    <xf numFmtId="0" fontId="64" fillId="17" borderId="21" applyNumberFormat="0" applyAlignment="0" applyProtection="0"/>
    <xf numFmtId="0" fontId="64" fillId="39" borderId="21" applyNumberFormat="0" applyAlignment="0" applyProtection="0"/>
    <xf numFmtId="0" fontId="65"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67" fillId="0" borderId="28" applyNumberFormat="0" applyFill="0" applyAlignment="0" applyProtection="0"/>
    <xf numFmtId="0" fontId="67" fillId="0" borderId="28" applyNumberFormat="0" applyFill="0" applyAlignment="0" applyProtection="0"/>
    <xf numFmtId="0" fontId="67" fillId="0" borderId="28" applyNumberFormat="0" applyFill="0" applyAlignment="0" applyProtection="0"/>
    <xf numFmtId="0" fontId="68" fillId="0" borderId="28" applyNumberFormat="0" applyFill="0" applyAlignment="0" applyProtection="0"/>
    <xf numFmtId="41" fontId="14" fillId="0" borderId="0" applyFont="0" applyFill="0" applyBorder="0" applyAlignment="0" applyProtection="0"/>
    <xf numFmtId="43" fontId="14" fillId="0" borderId="0" applyFont="0" applyFill="0" applyBorder="0" applyAlignment="0" applyProtection="0"/>
    <xf numFmtId="168" fontId="14" fillId="0" borderId="0" applyFont="0" applyFill="0" applyBorder="0" applyAlignment="0" applyProtection="0"/>
    <xf numFmtId="169" fontId="14" fillId="0" borderId="0" applyFont="0" applyFill="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50" borderId="0" applyNumberFormat="0" applyBorder="0" applyAlignment="0" applyProtection="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8" fillId="0" borderId="0" applyNumberFormat="0" applyFont="0" applyFill="0" applyBorder="0" applyAlignment="0" applyProtection="0"/>
    <xf numFmtId="0" fontId="1" fillId="0" borderId="0"/>
    <xf numFmtId="0" fontId="14" fillId="0" borderId="0"/>
    <xf numFmtId="0" fontId="8" fillId="0" borderId="0"/>
    <xf numFmtId="0" fontId="1" fillId="0" borderId="0"/>
    <xf numFmtId="0" fontId="1" fillId="0" borderId="0"/>
    <xf numFmtId="0" fontId="1" fillId="0" borderId="0"/>
    <xf numFmtId="0" fontId="1" fillId="0" borderId="0"/>
    <xf numFmtId="0" fontId="8" fillId="0" borderId="0"/>
    <xf numFmtId="0" fontId="70" fillId="0" borderId="0"/>
    <xf numFmtId="0" fontId="8" fillId="0" borderId="0"/>
    <xf numFmtId="0" fontId="15" fillId="0" borderId="0"/>
    <xf numFmtId="0" fontId="1" fillId="0" borderId="0"/>
    <xf numFmtId="0" fontId="1" fillId="0" borderId="0"/>
    <xf numFmtId="0" fontId="71" fillId="0" borderId="0"/>
    <xf numFmtId="0" fontId="7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1" fillId="0" borderId="0"/>
    <xf numFmtId="0" fontId="8" fillId="0" borderId="0"/>
    <xf numFmtId="0" fontId="1" fillId="0" borderId="0"/>
    <xf numFmtId="0" fontId="8" fillId="0" borderId="0"/>
    <xf numFmtId="0" fontId="8" fillId="0" borderId="0"/>
    <xf numFmtId="0" fontId="1"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6" fillId="0" borderId="0"/>
    <xf numFmtId="0" fontId="8" fillId="0" borderId="0"/>
    <xf numFmtId="0" fontId="1" fillId="0" borderId="0"/>
    <xf numFmtId="0" fontId="8" fillId="0" borderId="0"/>
    <xf numFmtId="0" fontId="1" fillId="0" borderId="0"/>
    <xf numFmtId="0" fontId="72" fillId="0" borderId="0"/>
    <xf numFmtId="180" fontId="27" fillId="0" borderId="0"/>
    <xf numFmtId="0" fontId="1" fillId="0" borderId="0"/>
    <xf numFmtId="0" fontId="8" fillId="0" borderId="0"/>
    <xf numFmtId="0" fontId="8" fillId="0" borderId="0"/>
    <xf numFmtId="0" fontId="15"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1" fillId="0" borderId="0"/>
    <xf numFmtId="0" fontId="8" fillId="0" borderId="0"/>
    <xf numFmtId="0" fontId="8" fillId="0" borderId="0"/>
    <xf numFmtId="0" fontId="8" fillId="0" borderId="0"/>
    <xf numFmtId="0" fontId="8" fillId="0" borderId="0"/>
    <xf numFmtId="0" fontId="8" fillId="0" borderId="0"/>
    <xf numFmtId="0" fontId="15" fillId="0" borderId="0"/>
    <xf numFmtId="0" fontId="14" fillId="0" borderId="0"/>
    <xf numFmtId="0" fontId="8" fillId="0" borderId="0"/>
    <xf numFmtId="0" fontId="8" fillId="0" borderId="0"/>
    <xf numFmtId="0" fontId="1" fillId="0" borderId="0"/>
    <xf numFmtId="0" fontId="8" fillId="0" borderId="0"/>
    <xf numFmtId="179" fontId="73" fillId="0" borderId="0"/>
    <xf numFmtId="0" fontId="14" fillId="0" borderId="0"/>
    <xf numFmtId="0" fontId="1" fillId="0" borderId="0"/>
    <xf numFmtId="172" fontId="36" fillId="0" borderId="0"/>
    <xf numFmtId="0" fontId="8" fillId="0" borderId="0"/>
    <xf numFmtId="0" fontId="71" fillId="0" borderId="0"/>
    <xf numFmtId="0" fontId="36" fillId="0" borderId="0"/>
    <xf numFmtId="0" fontId="36" fillId="0" borderId="0"/>
    <xf numFmtId="0" fontId="36" fillId="0" borderId="0"/>
    <xf numFmtId="0" fontId="36" fillId="0" borderId="0"/>
    <xf numFmtId="0" fontId="36" fillId="0" borderId="0"/>
    <xf numFmtId="178" fontId="33" fillId="0" borderId="0"/>
    <xf numFmtId="0" fontId="1" fillId="0" borderId="0"/>
    <xf numFmtId="0" fontId="36" fillId="0" borderId="0"/>
    <xf numFmtId="179" fontId="73" fillId="0" borderId="0"/>
    <xf numFmtId="0" fontId="15" fillId="0" borderId="0"/>
    <xf numFmtId="179" fontId="73"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8" fillId="0" borderId="0"/>
    <xf numFmtId="0" fontId="8" fillId="0" borderId="0"/>
    <xf numFmtId="0" fontId="8" fillId="0" borderId="0"/>
    <xf numFmtId="0" fontId="8" fillId="0" borderId="0"/>
    <xf numFmtId="0" fontId="8" fillId="0" borderId="0"/>
    <xf numFmtId="178" fontId="27" fillId="0" borderId="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1" borderId="29"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15" fillId="5" borderId="18" applyNumberFormat="0" applyFont="0" applyAlignment="0" applyProtection="0"/>
    <xf numFmtId="0" fontId="35" fillId="0" borderId="0">
      <alignment horizontal="left"/>
    </xf>
    <xf numFmtId="0" fontId="29" fillId="0" borderId="0">
      <alignment wrapText="1"/>
    </xf>
    <xf numFmtId="0" fontId="74" fillId="43" borderId="30" applyNumberFormat="0" applyAlignment="0" applyProtection="0"/>
    <xf numFmtId="0" fontId="74" fillId="43" borderId="30" applyNumberFormat="0" applyAlignment="0" applyProtection="0"/>
    <xf numFmtId="0" fontId="74" fillId="43" borderId="30" applyNumberFormat="0" applyAlignment="0" applyProtection="0"/>
    <xf numFmtId="0" fontId="74" fillId="44" borderId="30" applyNumberFormat="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192" fontId="35" fillId="0" borderId="0" applyFont="0" applyFill="0" applyBorder="0" applyAlignment="0" applyProtection="0"/>
    <xf numFmtId="0" fontId="14" fillId="0" borderId="13">
      <alignment horizontal="center" vertical="center"/>
    </xf>
    <xf numFmtId="0" fontId="75" fillId="0" borderId="0" applyNumberFormat="0" applyFill="0" applyBorder="0" applyAlignment="0" applyProtection="0"/>
    <xf numFmtId="0" fontId="21" fillId="0" borderId="0"/>
    <xf numFmtId="0" fontId="8" fillId="0" borderId="0"/>
    <xf numFmtId="0" fontId="17" fillId="52" borderId="31" applyNumberFormat="0" applyProtection="0">
      <alignment horizontal="center" wrapText="1"/>
    </xf>
    <xf numFmtId="0" fontId="17" fillId="52" borderId="32" applyNumberFormat="0" applyAlignment="0" applyProtection="0">
      <alignment wrapText="1"/>
    </xf>
    <xf numFmtId="0" fontId="8" fillId="53" borderId="0" applyNumberFormat="0" applyBorder="0">
      <alignment horizontal="center" wrapText="1"/>
    </xf>
    <xf numFmtId="0" fontId="8" fillId="53" borderId="0" applyNumberFormat="0" applyBorder="0">
      <alignment horizontal="center" wrapText="1"/>
    </xf>
    <xf numFmtId="0" fontId="8" fillId="53" borderId="0" applyNumberFormat="0" applyBorder="0">
      <alignment horizontal="center" wrapText="1"/>
    </xf>
    <xf numFmtId="0" fontId="8" fillId="53" borderId="0" applyNumberFormat="0" applyBorder="0">
      <alignment wrapText="1"/>
    </xf>
    <xf numFmtId="0" fontId="8" fillId="53" borderId="0" applyNumberFormat="0" applyBorder="0">
      <alignment wrapText="1"/>
    </xf>
    <xf numFmtId="0" fontId="8" fillId="53" borderId="0" applyNumberFormat="0" applyBorder="0">
      <alignment wrapText="1"/>
    </xf>
    <xf numFmtId="0" fontId="8" fillId="0" borderId="0" applyNumberFormat="0" applyFill="0" applyBorder="0" applyProtection="0">
      <alignment horizontal="right" wrapText="1"/>
    </xf>
    <xf numFmtId="0" fontId="8" fillId="0" borderId="0" applyNumberFormat="0" applyFill="0" applyBorder="0" applyProtection="0">
      <alignment horizontal="right" wrapText="1"/>
    </xf>
    <xf numFmtId="0" fontId="8" fillId="0" borderId="0" applyNumberFormat="0" applyFill="0" applyBorder="0" applyProtection="0">
      <alignment horizontal="right" wrapText="1"/>
    </xf>
    <xf numFmtId="174" fontId="8" fillId="0" borderId="0" applyFill="0" applyBorder="0" applyAlignment="0" applyProtection="0">
      <alignment wrapText="1"/>
    </xf>
    <xf numFmtId="174" fontId="8" fillId="0" borderId="0" applyFill="0" applyBorder="0" applyAlignment="0" applyProtection="0">
      <alignment wrapText="1"/>
    </xf>
    <xf numFmtId="174" fontId="8" fillId="0" borderId="0" applyFill="0" applyBorder="0" applyAlignment="0" applyProtection="0">
      <alignment wrapText="1"/>
    </xf>
    <xf numFmtId="193" fontId="8" fillId="0" borderId="0" applyFill="0" applyBorder="0" applyAlignment="0" applyProtection="0">
      <alignment wrapText="1"/>
    </xf>
    <xf numFmtId="193" fontId="8" fillId="0" borderId="0" applyFill="0" applyBorder="0" applyAlignment="0" applyProtection="0">
      <alignment wrapText="1"/>
    </xf>
    <xf numFmtId="194" fontId="8" fillId="0" borderId="0" applyFill="0" applyBorder="0" applyAlignment="0" applyProtection="0">
      <alignment wrapText="1"/>
    </xf>
    <xf numFmtId="194" fontId="8" fillId="0" borderId="0" applyFill="0" applyBorder="0" applyAlignment="0" applyProtection="0">
      <alignment wrapText="1"/>
    </xf>
    <xf numFmtId="194" fontId="8" fillId="0" borderId="0" applyFill="0" applyBorder="0" applyAlignment="0" applyProtection="0">
      <alignment wrapText="1"/>
    </xf>
    <xf numFmtId="0" fontId="8" fillId="0" borderId="0" applyNumberFormat="0" applyFill="0" applyBorder="0" applyProtection="0">
      <alignment horizontal="right" wrapText="1"/>
    </xf>
    <xf numFmtId="0" fontId="8" fillId="0" borderId="0" applyNumberFormat="0" applyFill="0" applyBorder="0" applyProtection="0">
      <alignment horizontal="right" wrapText="1"/>
    </xf>
    <xf numFmtId="0" fontId="8" fillId="0" borderId="0" applyNumberFormat="0" applyFill="0" applyBorder="0" applyProtection="0">
      <alignment horizontal="right" wrapText="1"/>
    </xf>
    <xf numFmtId="0" fontId="8" fillId="0" borderId="0" applyNumberFormat="0" applyFill="0" applyBorder="0">
      <alignment horizontal="right" wrapText="1"/>
    </xf>
    <xf numFmtId="0" fontId="8" fillId="0" borderId="0" applyNumberFormat="0" applyFill="0" applyBorder="0">
      <alignment horizontal="right" wrapText="1"/>
    </xf>
    <xf numFmtId="0" fontId="8" fillId="0" borderId="0" applyNumberFormat="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67" fontId="8" fillId="0" borderId="0" applyFill="0" applyBorder="0" applyAlignment="0" applyProtection="0">
      <alignment wrapText="1"/>
    </xf>
    <xf numFmtId="167" fontId="8" fillId="0" borderId="0" applyFill="0" applyBorder="0" applyAlignment="0" applyProtection="0">
      <alignment wrapText="1"/>
    </xf>
    <xf numFmtId="167" fontId="8" fillId="0" borderId="0" applyFill="0" applyBorder="0" applyAlignment="0" applyProtection="0">
      <alignment wrapText="1"/>
    </xf>
    <xf numFmtId="0" fontId="28" fillId="0" borderId="0" applyNumberFormat="0" applyFill="0" applyBorder="0">
      <alignment horizontal="left" wrapText="1"/>
    </xf>
    <xf numFmtId="0" fontId="17" fillId="0" borderId="0" applyNumberFormat="0" applyFill="0" applyBorder="0">
      <alignment horizontal="center" wrapText="1"/>
    </xf>
    <xf numFmtId="0" fontId="76" fillId="0" borderId="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0" borderId="0"/>
    <xf numFmtId="0" fontId="46" fillId="0" borderId="33" applyNumberFormat="0" applyFill="0" applyAlignment="0" applyProtection="0"/>
    <xf numFmtId="0" fontId="46" fillId="0" borderId="33" applyNumberFormat="0" applyFill="0" applyAlignment="0" applyProtection="0"/>
    <xf numFmtId="0" fontId="46" fillId="0" borderId="33" applyNumberFormat="0" applyFill="0" applyAlignment="0" applyProtection="0"/>
    <xf numFmtId="0" fontId="46" fillId="0" borderId="34" applyNumberFormat="0" applyFill="0" applyAlignment="0" applyProtection="0"/>
    <xf numFmtId="0" fontId="32" fillId="7" borderId="0" applyFont="0" applyFill="0">
      <alignment horizontal="center"/>
    </xf>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0" fillId="0" borderId="0"/>
    <xf numFmtId="0" fontId="81" fillId="0" borderId="0"/>
    <xf numFmtId="0" fontId="19" fillId="0" borderId="0"/>
    <xf numFmtId="40" fontId="19" fillId="0" borderId="0" applyFont="0" applyFill="0" applyBorder="0" applyAlignment="0" applyProtection="0"/>
    <xf numFmtId="43" fontId="8" fillId="0" borderId="0" applyFont="0" applyFill="0" applyBorder="0" applyAlignment="0" applyProtection="0"/>
    <xf numFmtId="0" fontId="8" fillId="0" borderId="0"/>
    <xf numFmtId="0" fontId="82" fillId="0" borderId="0"/>
    <xf numFmtId="43" fontId="82" fillId="0" borderId="0" applyFont="0" applyFill="0" applyBorder="0" applyAlignment="0" applyProtection="0"/>
    <xf numFmtId="41" fontId="8" fillId="0" borderId="0" applyFont="0" applyFill="0" applyBorder="0" applyAlignment="0" applyProtection="0"/>
    <xf numFmtId="0" fontId="83" fillId="0" borderId="0"/>
    <xf numFmtId="40" fontId="19" fillId="0" borderId="0" applyFont="0" applyFill="0" applyBorder="0" applyAlignment="0" applyProtection="0"/>
    <xf numFmtId="0" fontId="84" fillId="0" borderId="0"/>
    <xf numFmtId="0" fontId="102" fillId="0" borderId="0"/>
    <xf numFmtId="0" fontId="102" fillId="0" borderId="0"/>
    <xf numFmtId="0" fontId="102" fillId="0" borderId="0"/>
    <xf numFmtId="0" fontId="102" fillId="0" borderId="0"/>
    <xf numFmtId="0" fontId="102" fillId="0" borderId="0"/>
    <xf numFmtId="0" fontId="102" fillId="0" borderId="0"/>
  </cellStyleXfs>
  <cellXfs count="460">
    <xf numFmtId="0" fontId="0" fillId="0" borderId="0" xfId="0"/>
    <xf numFmtId="2" fontId="0" fillId="0" borderId="0" xfId="0" applyNumberFormat="1"/>
    <xf numFmtId="43" fontId="0" fillId="0" borderId="0" xfId="1" applyFont="1"/>
    <xf numFmtId="10" fontId="0" fillId="0" borderId="0" xfId="2" applyNumberFormat="1" applyFont="1"/>
    <xf numFmtId="164" fontId="0" fillId="0" borderId="0" xfId="0" applyNumberFormat="1"/>
    <xf numFmtId="164" fontId="0" fillId="0" borderId="0" xfId="1" applyNumberFormat="1" applyFont="1"/>
    <xf numFmtId="1" fontId="0" fillId="0" borderId="0" xfId="0" applyNumberFormat="1"/>
    <xf numFmtId="43" fontId="0" fillId="0" borderId="0" xfId="0" applyNumberFormat="1"/>
    <xf numFmtId="0" fontId="2" fillId="0" borderId="0" xfId="0" applyFont="1"/>
    <xf numFmtId="2" fontId="2" fillId="0" borderId="0" xfId="0" applyNumberFormat="1" applyFont="1"/>
    <xf numFmtId="0" fontId="0" fillId="0" borderId="0" xfId="0" applyAlignment="1">
      <alignment horizontal="right" indent="1"/>
    </xf>
    <xf numFmtId="164" fontId="0" fillId="0" borderId="0" xfId="1" applyNumberFormat="1" applyFont="1" applyAlignment="1">
      <alignment horizontal="right" indent="1"/>
    </xf>
    <xf numFmtId="10" fontId="0" fillId="0" borderId="0" xfId="2" applyNumberFormat="1" applyFont="1" applyAlignment="1">
      <alignment horizontal="right" indent="1"/>
    </xf>
    <xf numFmtId="164" fontId="0" fillId="0" borderId="0" xfId="2" applyNumberFormat="1" applyFont="1" applyAlignment="1">
      <alignment horizontal="right" indent="1"/>
    </xf>
    <xf numFmtId="2" fontId="0" fillId="0" borderId="0" xfId="0" applyNumberFormat="1" applyAlignment="1">
      <alignment horizontal="right" indent="1"/>
    </xf>
    <xf numFmtId="2" fontId="0" fillId="0" borderId="0" xfId="1" applyNumberFormat="1" applyFont="1" applyAlignment="1">
      <alignment horizontal="right" indent="1"/>
    </xf>
    <xf numFmtId="0" fontId="2" fillId="0" borderId="0" xfId="0" applyFont="1" applyAlignment="1">
      <alignment horizontal="right" indent="1"/>
    </xf>
    <xf numFmtId="164" fontId="2" fillId="0" borderId="0" xfId="1" applyNumberFormat="1" applyFont="1" applyAlignment="1">
      <alignment horizontal="right" indent="1"/>
    </xf>
    <xf numFmtId="10" fontId="2" fillId="0" borderId="0" xfId="2" applyNumberFormat="1" applyFont="1" applyAlignment="1">
      <alignment horizontal="right" indent="1"/>
    </xf>
    <xf numFmtId="164" fontId="2" fillId="0" borderId="0" xfId="2" applyNumberFormat="1" applyFont="1" applyAlignment="1">
      <alignment horizontal="right" indent="1"/>
    </xf>
    <xf numFmtId="2" fontId="2" fillId="0" borderId="0" xfId="0" applyNumberFormat="1" applyFont="1" applyAlignment="1">
      <alignment horizontal="right" indent="1"/>
    </xf>
    <xf numFmtId="2" fontId="2" fillId="0" borderId="0" xfId="1" applyNumberFormat="1" applyFont="1" applyAlignment="1">
      <alignment horizontal="right" indent="1"/>
    </xf>
    <xf numFmtId="0" fontId="0" fillId="0" borderId="0" xfId="0" applyAlignment="1">
      <alignment horizontal="right"/>
    </xf>
    <xf numFmtId="43" fontId="0" fillId="0" borderId="0" xfId="0" applyNumberFormat="1" applyAlignment="1">
      <alignment horizontal="right" indent="1"/>
    </xf>
    <xf numFmtId="43" fontId="2" fillId="0" borderId="0" xfId="0" applyNumberFormat="1" applyFont="1" applyAlignment="1">
      <alignment horizontal="right" indent="1"/>
    </xf>
    <xf numFmtId="164" fontId="0" fillId="0" borderId="3" xfId="1" applyNumberFormat="1" applyFont="1" applyBorder="1" applyAlignment="1">
      <alignment horizontal="right" indent="1"/>
    </xf>
    <xf numFmtId="2" fontId="0" fillId="0" borderId="3" xfId="0" applyNumberFormat="1" applyBorder="1" applyAlignment="1">
      <alignment horizontal="right" indent="1"/>
    </xf>
    <xf numFmtId="0" fontId="0" fillId="0" borderId="2" xfId="0" applyBorder="1"/>
    <xf numFmtId="0" fontId="0" fillId="0" borderId="3" xfId="0" applyBorder="1"/>
    <xf numFmtId="0" fontId="2" fillId="0" borderId="4" xfId="0" applyFont="1" applyBorder="1"/>
    <xf numFmtId="0" fontId="2" fillId="0" borderId="1" xfId="0" applyFont="1" applyBorder="1" applyAlignment="1">
      <alignment horizontal="right"/>
    </xf>
    <xf numFmtId="164" fontId="2" fillId="0" borderId="1" xfId="1" applyNumberFormat="1" applyFont="1" applyBorder="1" applyAlignment="1">
      <alignment horizontal="right" indent="1"/>
    </xf>
    <xf numFmtId="2" fontId="2" fillId="0" borderId="1" xfId="0" applyNumberFormat="1" applyFont="1" applyBorder="1" applyAlignment="1">
      <alignment horizontal="right" indent="1"/>
    </xf>
    <xf numFmtId="2" fontId="4" fillId="2" borderId="0" xfId="0" applyNumberFormat="1" applyFont="1" applyFill="1"/>
    <xf numFmtId="0" fontId="4" fillId="2" borderId="0" xfId="0" applyFont="1" applyFill="1"/>
    <xf numFmtId="164" fontId="4" fillId="2" borderId="0" xfId="1" applyNumberFormat="1" applyFont="1" applyFill="1"/>
    <xf numFmtId="164" fontId="4" fillId="2" borderId="0" xfId="0" applyNumberFormat="1" applyFont="1" applyFill="1"/>
    <xf numFmtId="1" fontId="4" fillId="2" borderId="0" xfId="0" applyNumberFormat="1" applyFont="1" applyFill="1"/>
    <xf numFmtId="0" fontId="2" fillId="0" borderId="1" xfId="0" applyFont="1" applyBorder="1"/>
    <xf numFmtId="0" fontId="2" fillId="0" borderId="2" xfId="0" applyFont="1" applyBorder="1"/>
    <xf numFmtId="2" fontId="4" fillId="0" borderId="0" xfId="0" applyNumberFormat="1" applyFont="1"/>
    <xf numFmtId="0" fontId="4" fillId="0" borderId="0" xfId="0" applyFont="1"/>
    <xf numFmtId="164" fontId="4" fillId="0" borderId="0" xfId="1" applyNumberFormat="1" applyFont="1" applyFill="1"/>
    <xf numFmtId="0" fontId="0" fillId="0" borderId="4" xfId="0" applyBorder="1"/>
    <xf numFmtId="0" fontId="0" fillId="0" borderId="8" xfId="0" applyBorder="1"/>
    <xf numFmtId="0" fontId="0" fillId="0" borderId="13" xfId="0" applyBorder="1"/>
    <xf numFmtId="164" fontId="2" fillId="0" borderId="0" xfId="1" applyNumberFormat="1" applyFont="1"/>
    <xf numFmtId="3" fontId="0" fillId="0" borderId="2" xfId="1" applyNumberFormat="1" applyFont="1" applyBorder="1" applyAlignment="1">
      <alignment horizontal="right" indent="1"/>
    </xf>
    <xf numFmtId="3" fontId="0" fillId="0" borderId="3" xfId="1" applyNumberFormat="1" applyFont="1" applyBorder="1" applyAlignment="1">
      <alignment horizontal="right" indent="1"/>
    </xf>
    <xf numFmtId="2" fontId="0" fillId="0" borderId="3" xfId="1" applyNumberFormat="1" applyFont="1" applyBorder="1" applyAlignment="1">
      <alignment horizontal="right" indent="1"/>
    </xf>
    <xf numFmtId="2" fontId="2" fillId="0" borderId="1" xfId="1" applyNumberFormat="1" applyFont="1" applyBorder="1" applyAlignment="1">
      <alignment horizontal="right" indent="1"/>
    </xf>
    <xf numFmtId="3" fontId="0" fillId="0" borderId="3" xfId="1" applyNumberFormat="1" applyFont="1" applyBorder="1" applyAlignment="1">
      <alignment horizontal="right"/>
    </xf>
    <xf numFmtId="3" fontId="2" fillId="0" borderId="1" xfId="1" applyNumberFormat="1" applyFont="1" applyBorder="1" applyAlignment="1">
      <alignment horizontal="right" indent="1"/>
    </xf>
    <xf numFmtId="3" fontId="0" fillId="0" borderId="2" xfId="0" applyNumberFormat="1" applyBorder="1" applyAlignment="1">
      <alignment horizontal="right" indent="1"/>
    </xf>
    <xf numFmtId="3" fontId="0" fillId="0" borderId="3" xfId="0" applyNumberFormat="1" applyBorder="1" applyAlignment="1">
      <alignment horizontal="right" indent="1"/>
    </xf>
    <xf numFmtId="3" fontId="2" fillId="0" borderId="2" xfId="0" applyNumberFormat="1" applyFont="1" applyBorder="1" applyAlignment="1">
      <alignment horizontal="right" indent="1"/>
    </xf>
    <xf numFmtId="3" fontId="2" fillId="0" borderId="4" xfId="0" applyNumberFormat="1" applyFont="1" applyBorder="1" applyAlignment="1">
      <alignment horizontal="right" indent="1"/>
    </xf>
    <xf numFmtId="3" fontId="2" fillId="0" borderId="1" xfId="0" applyNumberFormat="1" applyFont="1" applyBorder="1" applyAlignment="1">
      <alignment horizontal="right" indent="1"/>
    </xf>
    <xf numFmtId="9" fontId="0" fillId="0" borderId="0" xfId="2" applyFont="1"/>
    <xf numFmtId="0" fontId="0" fillId="0" borderId="0" xfId="0" applyAlignment="1">
      <alignment horizontal="left"/>
    </xf>
    <xf numFmtId="3" fontId="0" fillId="0" borderId="2" xfId="0" applyNumberFormat="1" applyBorder="1" applyAlignment="1">
      <alignment horizontal="right"/>
    </xf>
    <xf numFmtId="3" fontId="0" fillId="0" borderId="3" xfId="0" applyNumberFormat="1" applyBorder="1" applyAlignment="1">
      <alignment horizontal="right"/>
    </xf>
    <xf numFmtId="3" fontId="2" fillId="0" borderId="4" xfId="0" applyNumberFormat="1" applyFont="1" applyBorder="1" applyAlignment="1">
      <alignment horizontal="right"/>
    </xf>
    <xf numFmtId="3" fontId="0" fillId="0" borderId="0" xfId="0" applyNumberFormat="1"/>
    <xf numFmtId="3" fontId="0" fillId="0" borderId="0" xfId="0" applyNumberFormat="1" applyAlignment="1">
      <alignment horizontal="right"/>
    </xf>
    <xf numFmtId="3" fontId="2" fillId="0" borderId="1" xfId="0" applyNumberFormat="1" applyFont="1" applyBorder="1" applyAlignment="1">
      <alignment horizontal="right"/>
    </xf>
    <xf numFmtId="9" fontId="0" fillId="0" borderId="4" xfId="2" applyFont="1" applyBorder="1"/>
    <xf numFmtId="2" fontId="0" fillId="0" borderId="4" xfId="0" applyNumberFormat="1" applyBorder="1"/>
    <xf numFmtId="43" fontId="0" fillId="0" borderId="4" xfId="0" applyNumberFormat="1" applyBorder="1"/>
    <xf numFmtId="9" fontId="2" fillId="0" borderId="2" xfId="2" applyFont="1" applyBorder="1"/>
    <xf numFmtId="9" fontId="2" fillId="0" borderId="4" xfId="2" applyFont="1" applyBorder="1"/>
    <xf numFmtId="2" fontId="4" fillId="2" borderId="0" xfId="0" applyNumberFormat="1" applyFont="1" applyFill="1" applyAlignment="1">
      <alignment horizontal="centerContinuous"/>
    </xf>
    <xf numFmtId="165" fontId="0" fillId="0" borderId="0" xfId="2" applyNumberFormat="1" applyFont="1"/>
    <xf numFmtId="164" fontId="2" fillId="0" borderId="1" xfId="1" applyNumberFormat="1" applyFont="1" applyBorder="1"/>
    <xf numFmtId="164" fontId="0" fillId="0" borderId="2" xfId="1" applyNumberFormat="1" applyFont="1" applyBorder="1"/>
    <xf numFmtId="164" fontId="0" fillId="0" borderId="3" xfId="1" applyNumberFormat="1" applyFont="1" applyBorder="1"/>
    <xf numFmtId="164" fontId="0" fillId="0" borderId="4" xfId="1" applyNumberFormat="1" applyFont="1" applyBorder="1"/>
    <xf numFmtId="164" fontId="2" fillId="0" borderId="3" xfId="1" applyNumberFormat="1" applyFont="1" applyBorder="1"/>
    <xf numFmtId="164" fontId="2" fillId="0" borderId="4" xfId="1" applyNumberFormat="1" applyFont="1" applyBorder="1"/>
    <xf numFmtId="164" fontId="2" fillId="0" borderId="0" xfId="1" applyNumberFormat="1" applyFont="1" applyBorder="1"/>
    <xf numFmtId="165" fontId="2" fillId="0" borderId="1" xfId="2" applyNumberFormat="1" applyFont="1" applyBorder="1"/>
    <xf numFmtId="1" fontId="0" fillId="0" borderId="0" xfId="1" applyNumberFormat="1" applyFont="1"/>
    <xf numFmtId="0" fontId="2" fillId="0" borderId="3" xfId="0" applyFont="1" applyBorder="1"/>
    <xf numFmtId="10" fontId="2" fillId="0" borderId="1" xfId="2" applyNumberFormat="1" applyFont="1" applyBorder="1"/>
    <xf numFmtId="164" fontId="0" fillId="0" borderId="1" xfId="1" applyNumberFormat="1" applyFont="1" applyBorder="1"/>
    <xf numFmtId="0" fontId="0" fillId="0" borderId="1" xfId="0" applyBorder="1"/>
    <xf numFmtId="164" fontId="0" fillId="0" borderId="1" xfId="1" applyNumberFormat="1" applyFont="1" applyBorder="1" applyAlignment="1">
      <alignment horizontal="right"/>
    </xf>
    <xf numFmtId="1" fontId="4" fillId="0" borderId="0" xfId="0" applyNumberFormat="1" applyFont="1"/>
    <xf numFmtId="164" fontId="0" fillId="0" borderId="0" xfId="1" applyNumberFormat="1" applyFont="1" applyFill="1"/>
    <xf numFmtId="164" fontId="2" fillId="0" borderId="0" xfId="1" applyNumberFormat="1" applyFont="1" applyFill="1"/>
    <xf numFmtId="164" fontId="0" fillId="0" borderId="0" xfId="1" applyNumberFormat="1" applyFont="1" applyFill="1" applyBorder="1"/>
    <xf numFmtId="164" fontId="2" fillId="0" borderId="0" xfId="1" applyNumberFormat="1" applyFont="1" applyFill="1" applyBorder="1"/>
    <xf numFmtId="164" fontId="2" fillId="0" borderId="2" xfId="1" applyNumberFormat="1" applyFont="1" applyBorder="1"/>
    <xf numFmtId="3" fontId="2" fillId="0" borderId="0" xfId="0" applyNumberFormat="1" applyFont="1" applyAlignment="1">
      <alignment horizontal="right" indent="1"/>
    </xf>
    <xf numFmtId="164" fontId="2" fillId="0" borderId="0" xfId="1" applyNumberFormat="1" applyFont="1" applyBorder="1" applyAlignment="1">
      <alignment horizontal="right" indent="1"/>
    </xf>
    <xf numFmtId="164" fontId="0" fillId="0" borderId="1" xfId="1" quotePrefix="1" applyNumberFormat="1" applyFont="1" applyBorder="1"/>
    <xf numFmtId="43" fontId="0" fillId="0" borderId="1" xfId="1" applyFont="1" applyBorder="1"/>
    <xf numFmtId="43" fontId="0" fillId="0" borderId="1" xfId="1" quotePrefix="1" applyFont="1" applyBorder="1"/>
    <xf numFmtId="16" fontId="0" fillId="0" borderId="0" xfId="0" applyNumberFormat="1"/>
    <xf numFmtId="43" fontId="0" fillId="0" borderId="0" xfId="1" applyFont="1" applyBorder="1"/>
    <xf numFmtId="9" fontId="0" fillId="0" borderId="1" xfId="2" applyFont="1" applyBorder="1"/>
    <xf numFmtId="14" fontId="0" fillId="0" borderId="0" xfId="0" applyNumberFormat="1"/>
    <xf numFmtId="0" fontId="2" fillId="0" borderId="1" xfId="0" applyFont="1" applyBorder="1" applyAlignment="1">
      <alignment horizontal="center" vertical="center" wrapText="1"/>
    </xf>
    <xf numFmtId="0" fontId="0" fillId="0" borderId="1" xfId="0" applyBorder="1" applyAlignment="1">
      <alignment vertical="center" wrapText="1"/>
    </xf>
    <xf numFmtId="3" fontId="0" fillId="0" borderId="1" xfId="0" applyNumberFormat="1" applyBorder="1" applyAlignment="1">
      <alignment vertical="center" wrapText="1"/>
    </xf>
    <xf numFmtId="14" fontId="0" fillId="0" borderId="1" xfId="0" applyNumberFormat="1" applyBorder="1"/>
    <xf numFmtId="0" fontId="0" fillId="0" borderId="0" xfId="0" applyAlignment="1">
      <alignment vertical="center" wrapText="1"/>
    </xf>
    <xf numFmtId="0" fontId="0" fillId="0" borderId="14" xfId="0" applyBorder="1"/>
    <xf numFmtId="0" fontId="5" fillId="0" borderId="15" xfId="0" applyFont="1" applyBorder="1" applyAlignment="1">
      <alignment horizontal="center"/>
    </xf>
    <xf numFmtId="0" fontId="5" fillId="0" borderId="15" xfId="0" applyFont="1" applyBorder="1" applyAlignment="1">
      <alignment horizontal="centerContinuous"/>
    </xf>
    <xf numFmtId="166" fontId="4" fillId="2" borderId="0" xfId="0" applyNumberFormat="1" applyFont="1" applyFill="1" applyAlignment="1">
      <alignment horizontal="centerContinuous"/>
    </xf>
    <xf numFmtId="166" fontId="2" fillId="0" borderId="1" xfId="0" applyNumberFormat="1" applyFont="1" applyBorder="1" applyAlignment="1">
      <alignment horizontal="center" vertical="center" wrapText="1"/>
    </xf>
    <xf numFmtId="166" fontId="0" fillId="0" borderId="1" xfId="0" applyNumberFormat="1" applyBorder="1" applyAlignment="1">
      <alignment vertical="center" wrapText="1"/>
    </xf>
    <xf numFmtId="166" fontId="0" fillId="0" borderId="0" xfId="0" applyNumberFormat="1"/>
    <xf numFmtId="166" fontId="0" fillId="0" borderId="1" xfId="0" applyNumberFormat="1" applyBorder="1"/>
    <xf numFmtId="0" fontId="2" fillId="0" borderId="2" xfId="0" applyFont="1" applyBorder="1" applyAlignment="1">
      <alignment horizontal="center" vertical="center" wrapText="1"/>
    </xf>
    <xf numFmtId="166" fontId="2" fillId="0" borderId="2" xfId="0" applyNumberFormat="1" applyFont="1" applyBorder="1" applyAlignment="1">
      <alignment horizontal="center" vertical="center" wrapText="1"/>
    </xf>
    <xf numFmtId="166" fontId="0" fillId="0" borderId="0" xfId="0" applyNumberFormat="1" applyAlignment="1">
      <alignment vertical="center" wrapText="1"/>
    </xf>
    <xf numFmtId="14" fontId="4" fillId="2" borderId="0" xfId="0" applyNumberFormat="1" applyFont="1" applyFill="1" applyAlignment="1">
      <alignment horizontal="centerContinuous"/>
    </xf>
    <xf numFmtId="14" fontId="0" fillId="0" borderId="0" xfId="0" applyNumberForma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vertical="center" wrapText="1"/>
    </xf>
    <xf numFmtId="1" fontId="2" fillId="0" borderId="1" xfId="0" applyNumberFormat="1" applyFont="1" applyBorder="1" applyAlignment="1">
      <alignment horizontal="center" vertical="center" wrapText="1"/>
    </xf>
    <xf numFmtId="1" fontId="0" fillId="0" borderId="1" xfId="0" applyNumberFormat="1" applyBorder="1"/>
    <xf numFmtId="14" fontId="4" fillId="2" borderId="1" xfId="0" applyNumberFormat="1" applyFont="1" applyFill="1" applyBorder="1" applyAlignment="1">
      <alignment horizontal="centerContinuous"/>
    </xf>
    <xf numFmtId="2" fontId="4" fillId="2" borderId="1" xfId="0" applyNumberFormat="1" applyFont="1" applyFill="1" applyBorder="1" applyAlignment="1">
      <alignment horizontal="centerContinuous"/>
    </xf>
    <xf numFmtId="166" fontId="4" fillId="2" borderId="1" xfId="0" applyNumberFormat="1" applyFont="1" applyFill="1" applyBorder="1" applyAlignment="1">
      <alignment horizontal="centerContinuous"/>
    </xf>
    <xf numFmtId="1" fontId="4" fillId="2" borderId="1" xfId="0" applyNumberFormat="1" applyFont="1" applyFill="1" applyBorder="1" applyAlignment="1">
      <alignment horizontal="centerContinuous"/>
    </xf>
    <xf numFmtId="9" fontId="0" fillId="0" borderId="1" xfId="1" applyNumberFormat="1" applyFont="1" applyBorder="1"/>
    <xf numFmtId="3" fontId="2" fillId="0" borderId="2" xfId="0" applyNumberFormat="1" applyFont="1" applyBorder="1" applyAlignment="1">
      <alignment horizontal="right"/>
    </xf>
    <xf numFmtId="3" fontId="2" fillId="0" borderId="3" xfId="0" applyNumberFormat="1" applyFont="1" applyBorder="1" applyAlignment="1">
      <alignment horizontal="right"/>
    </xf>
    <xf numFmtId="164" fontId="1" fillId="0" borderId="0" xfId="1" applyNumberFormat="1" applyFont="1"/>
    <xf numFmtId="10" fontId="1" fillId="0" borderId="0" xfId="2" applyNumberFormat="1" applyFont="1"/>
    <xf numFmtId="9" fontId="2" fillId="0" borderId="0" xfId="2" applyFont="1"/>
    <xf numFmtId="9" fontId="1" fillId="0" borderId="0" xfId="2" applyFont="1"/>
    <xf numFmtId="10" fontId="2" fillId="0" borderId="0" xfId="2" applyNumberFormat="1" applyFont="1"/>
    <xf numFmtId="3" fontId="2" fillId="0" borderId="0" xfId="1" applyNumberFormat="1" applyFont="1" applyBorder="1" applyAlignment="1">
      <alignment horizontal="right"/>
    </xf>
    <xf numFmtId="9" fontId="1" fillId="3" borderId="0" xfId="2" applyFont="1" applyFill="1"/>
    <xf numFmtId="43" fontId="2" fillId="0" borderId="0" xfId="1" applyFont="1"/>
    <xf numFmtId="9" fontId="0" fillId="3" borderId="0" xfId="2" applyFont="1" applyFill="1"/>
    <xf numFmtId="10" fontId="0" fillId="3" borderId="0" xfId="2" applyNumberFormat="1" applyFont="1" applyFill="1"/>
    <xf numFmtId="10" fontId="0" fillId="0" borderId="0" xfId="0" applyNumberFormat="1"/>
    <xf numFmtId="10" fontId="0" fillId="4" borderId="0" xfId="2" applyNumberFormat="1" applyFont="1" applyFill="1"/>
    <xf numFmtId="2" fontId="4" fillId="4" borderId="0" xfId="0" applyNumberFormat="1" applyFont="1" applyFill="1"/>
    <xf numFmtId="164" fontId="4" fillId="4" borderId="0" xfId="0" applyNumberFormat="1" applyFont="1" applyFill="1"/>
    <xf numFmtId="2" fontId="0" fillId="4" borderId="0" xfId="1" applyNumberFormat="1" applyFont="1" applyFill="1" applyBorder="1" applyAlignment="1">
      <alignment horizontal="right" indent="1"/>
    </xf>
    <xf numFmtId="3" fontId="2" fillId="4" borderId="0" xfId="1" applyNumberFormat="1" applyFont="1" applyFill="1" applyBorder="1" applyAlignment="1">
      <alignment horizontal="right" indent="1"/>
    </xf>
    <xf numFmtId="164" fontId="2" fillId="4" borderId="0" xfId="1" applyNumberFormat="1" applyFont="1" applyFill="1" applyAlignment="1">
      <alignment horizontal="right" indent="1"/>
    </xf>
    <xf numFmtId="2" fontId="0" fillId="4" borderId="0" xfId="0" applyNumberFormat="1" applyFill="1" applyAlignment="1">
      <alignment horizontal="right" indent="1"/>
    </xf>
    <xf numFmtId="3" fontId="0" fillId="4" borderId="0" xfId="0" applyNumberFormat="1" applyFill="1" applyAlignment="1">
      <alignment horizontal="right" indent="1"/>
    </xf>
    <xf numFmtId="3" fontId="2" fillId="4" borderId="0" xfId="0" applyNumberFormat="1" applyFont="1" applyFill="1" applyAlignment="1">
      <alignment horizontal="right" indent="1"/>
    </xf>
    <xf numFmtId="0" fontId="0" fillId="4" borderId="0" xfId="0" applyFill="1"/>
    <xf numFmtId="164" fontId="0" fillId="4" borderId="0" xfId="0" applyNumberFormat="1" applyFill="1"/>
    <xf numFmtId="3" fontId="0" fillId="4" borderId="0" xfId="0" applyNumberFormat="1" applyFill="1"/>
    <xf numFmtId="3" fontId="2" fillId="0" borderId="0" xfId="0" applyNumberFormat="1" applyFont="1"/>
    <xf numFmtId="15" fontId="0" fillId="0" borderId="0" xfId="0" applyNumberFormat="1"/>
    <xf numFmtId="10" fontId="0" fillId="0" borderId="0" xfId="2" applyNumberFormat="1" applyFont="1" applyFill="1" applyBorder="1"/>
    <xf numFmtId="15" fontId="0" fillId="0" borderId="5" xfId="0" applyNumberFormat="1" applyBorder="1"/>
    <xf numFmtId="10" fontId="0" fillId="0" borderId="16" xfId="2" applyNumberFormat="1" applyFont="1" applyFill="1" applyBorder="1"/>
    <xf numFmtId="0" fontId="0" fillId="0" borderId="16" xfId="0" applyBorder="1"/>
    <xf numFmtId="15" fontId="0" fillId="0" borderId="7" xfId="0" applyNumberFormat="1" applyBorder="1"/>
    <xf numFmtId="10" fontId="0" fillId="0" borderId="8" xfId="2" applyNumberFormat="1" applyFont="1" applyFill="1" applyBorder="1"/>
    <xf numFmtId="15" fontId="0" fillId="0" borderId="9" xfId="0" applyNumberFormat="1" applyBorder="1"/>
    <xf numFmtId="10" fontId="0" fillId="0" borderId="13" xfId="2" applyNumberFormat="1" applyFont="1" applyFill="1" applyBorder="1"/>
    <xf numFmtId="0" fontId="0" fillId="0" borderId="10" xfId="0" applyBorder="1"/>
    <xf numFmtId="0" fontId="0" fillId="0" borderId="11" xfId="0" applyBorder="1"/>
    <xf numFmtId="0" fontId="0" fillId="0" borderId="17" xfId="0" applyBorder="1"/>
    <xf numFmtId="2" fontId="4" fillId="2" borderId="8" xfId="0" applyNumberFormat="1" applyFont="1" applyFill="1" applyBorder="1"/>
    <xf numFmtId="10" fontId="2" fillId="0" borderId="12" xfId="2" applyNumberFormat="1" applyFont="1" applyBorder="1"/>
    <xf numFmtId="164" fontId="2" fillId="0" borderId="0" xfId="0" applyNumberFormat="1" applyFont="1"/>
    <xf numFmtId="10" fontId="2" fillId="0" borderId="0" xfId="0" applyNumberFormat="1" applyFont="1"/>
    <xf numFmtId="165" fontId="2" fillId="0" borderId="0" xfId="2" applyNumberFormat="1" applyFont="1"/>
    <xf numFmtId="10" fontId="2" fillId="4" borderId="0" xfId="2" applyNumberFormat="1" applyFont="1" applyFill="1"/>
    <xf numFmtId="164" fontId="0" fillId="4" borderId="0" xfId="1" applyNumberFormat="1" applyFont="1" applyFill="1" applyBorder="1" applyAlignment="1">
      <alignment horizontal="right" indent="1"/>
    </xf>
    <xf numFmtId="164" fontId="0" fillId="0" borderId="2" xfId="0" applyNumberFormat="1" applyBorder="1"/>
    <xf numFmtId="164" fontId="0" fillId="0" borderId="3" xfId="0" applyNumberFormat="1" applyBorder="1"/>
    <xf numFmtId="164" fontId="0" fillId="0" borderId="4" xfId="0" applyNumberFormat="1" applyBorder="1"/>
    <xf numFmtId="0" fontId="0" fillId="0" borderId="1" xfId="0" applyBorder="1" applyAlignment="1">
      <alignment horizontal="center" vertical="center"/>
    </xf>
    <xf numFmtId="15" fontId="0" fillId="0" borderId="1" xfId="0" applyNumberFormat="1" applyBorder="1" applyAlignment="1">
      <alignment horizontal="right"/>
    </xf>
    <xf numFmtId="4" fontId="0" fillId="0" borderId="1" xfId="0" applyNumberFormat="1" applyBorder="1" applyAlignment="1">
      <alignment horizontal="right"/>
    </xf>
    <xf numFmtId="0" fontId="0" fillId="0" borderId="1" xfId="0" applyBorder="1" applyAlignment="1">
      <alignment horizontal="center"/>
    </xf>
    <xf numFmtId="170" fontId="0" fillId="0" borderId="1" xfId="0" applyNumberFormat="1" applyBorder="1" applyAlignment="1">
      <alignment horizontal="center"/>
    </xf>
    <xf numFmtId="10" fontId="0" fillId="0" borderId="1" xfId="0" applyNumberFormat="1" applyBorder="1" applyAlignment="1">
      <alignment horizontal="center"/>
    </xf>
    <xf numFmtId="0" fontId="0" fillId="0" borderId="1" xfId="0" applyBorder="1" applyAlignment="1">
      <alignment horizontal="right"/>
    </xf>
    <xf numFmtId="171" fontId="0" fillId="0" borderId="1" xfId="0" applyNumberFormat="1" applyBorder="1" applyAlignment="1">
      <alignment horizontal="right"/>
    </xf>
    <xf numFmtId="0" fontId="10" fillId="0" borderId="0" xfId="0" applyFont="1" applyAlignment="1">
      <alignment vertical="top"/>
    </xf>
    <xf numFmtId="0" fontId="2" fillId="8" borderId="1" xfId="0" applyFont="1" applyFill="1" applyBorder="1" applyAlignment="1">
      <alignment horizontal="center"/>
    </xf>
    <xf numFmtId="170" fontId="0" fillId="0" borderId="0" xfId="0" applyNumberFormat="1"/>
    <xf numFmtId="4" fontId="0" fillId="0" borderId="1" xfId="0" applyNumberFormat="1" applyBorder="1" applyAlignment="1">
      <alignment horizontal="center"/>
    </xf>
    <xf numFmtId="0" fontId="0" fillId="8" borderId="11" xfId="0" applyFill="1" applyBorder="1" applyAlignment="1">
      <alignment vertical="center"/>
    </xf>
    <xf numFmtId="0" fontId="0" fillId="8" borderId="17" xfId="0" applyFill="1" applyBorder="1" applyAlignment="1">
      <alignment vertical="center"/>
    </xf>
    <xf numFmtId="0" fontId="0" fillId="8" borderId="12" xfId="0" applyFill="1" applyBorder="1" applyAlignment="1">
      <alignment vertical="center"/>
    </xf>
    <xf numFmtId="0" fontId="2" fillId="8" borderId="1" xfId="0" applyFont="1" applyFill="1" applyBorder="1" applyAlignment="1">
      <alignment horizontal="centerContinuous"/>
    </xf>
    <xf numFmtId="0" fontId="84" fillId="0" borderId="0" xfId="745" applyAlignment="1">
      <alignment horizontal="left" vertical="top"/>
    </xf>
    <xf numFmtId="0" fontId="84" fillId="0" borderId="36" xfId="745" applyBorder="1" applyAlignment="1">
      <alignment horizontal="left" vertical="center" wrapText="1"/>
    </xf>
    <xf numFmtId="0" fontId="90" fillId="0" borderId="36" xfId="745" applyFont="1" applyBorder="1" applyAlignment="1">
      <alignment horizontal="left" vertical="top" wrapText="1"/>
    </xf>
    <xf numFmtId="10" fontId="93" fillId="0" borderId="36" xfId="745" applyNumberFormat="1" applyFont="1" applyBorder="1" applyAlignment="1">
      <alignment horizontal="center" vertical="top" shrinkToFit="1"/>
    </xf>
    <xf numFmtId="2" fontId="93" fillId="0" borderId="36" xfId="745" applyNumberFormat="1" applyFont="1" applyBorder="1" applyAlignment="1">
      <alignment horizontal="right" vertical="top" shrinkToFit="1"/>
    </xf>
    <xf numFmtId="170" fontId="93" fillId="0" borderId="36" xfId="745" applyNumberFormat="1" applyFont="1" applyBorder="1" applyAlignment="1">
      <alignment horizontal="center" vertical="top" shrinkToFit="1"/>
    </xf>
    <xf numFmtId="0" fontId="90" fillId="0" borderId="36" xfId="745" applyFont="1" applyBorder="1" applyAlignment="1">
      <alignment horizontal="right" vertical="top" wrapText="1" indent="2"/>
    </xf>
    <xf numFmtId="0" fontId="90" fillId="0" borderId="40" xfId="745" applyFont="1" applyBorder="1" applyAlignment="1">
      <alignment horizontal="center" vertical="top" wrapText="1"/>
    </xf>
    <xf numFmtId="4" fontId="93" fillId="0" borderId="36" xfId="745" applyNumberFormat="1" applyFont="1" applyBorder="1" applyAlignment="1">
      <alignment horizontal="right" vertical="top" shrinkToFit="1"/>
    </xf>
    <xf numFmtId="0" fontId="84" fillId="0" borderId="36" xfId="745" applyBorder="1" applyAlignment="1">
      <alignment horizontal="left" wrapText="1"/>
    </xf>
    <xf numFmtId="10" fontId="93" fillId="0" borderId="38" xfId="745" applyNumberFormat="1" applyFont="1" applyBorder="1" applyAlignment="1">
      <alignment horizontal="center" vertical="top" shrinkToFit="1"/>
    </xf>
    <xf numFmtId="4" fontId="93" fillId="0" borderId="38" xfId="745" applyNumberFormat="1" applyFont="1" applyBorder="1" applyAlignment="1">
      <alignment horizontal="right" vertical="top" shrinkToFit="1"/>
    </xf>
    <xf numFmtId="170" fontId="93" fillId="0" borderId="38" xfId="745" applyNumberFormat="1" applyFont="1" applyBorder="1" applyAlignment="1">
      <alignment horizontal="center" vertical="top" shrinkToFit="1"/>
    </xf>
    <xf numFmtId="0" fontId="84" fillId="0" borderId="38" xfId="745" applyBorder="1" applyAlignment="1">
      <alignment horizontal="left" wrapText="1"/>
    </xf>
    <xf numFmtId="0" fontId="96" fillId="0" borderId="36" xfId="745" applyFont="1" applyBorder="1" applyAlignment="1">
      <alignment horizontal="left" vertical="top" wrapText="1"/>
    </xf>
    <xf numFmtId="10" fontId="98" fillId="0" borderId="36" xfId="745" applyNumberFormat="1" applyFont="1" applyBorder="1" applyAlignment="1">
      <alignment horizontal="center" vertical="top" shrinkToFit="1"/>
    </xf>
    <xf numFmtId="4" fontId="98" fillId="0" borderId="36" xfId="745" applyNumberFormat="1" applyFont="1" applyBorder="1" applyAlignment="1">
      <alignment horizontal="right" vertical="top" shrinkToFit="1"/>
    </xf>
    <xf numFmtId="170" fontId="98" fillId="0" borderId="36" xfId="745" applyNumberFormat="1" applyFont="1" applyBorder="1" applyAlignment="1">
      <alignment horizontal="center" vertical="top" shrinkToFit="1"/>
    </xf>
    <xf numFmtId="0" fontId="96" fillId="0" borderId="36" xfId="745" applyFont="1" applyBorder="1" applyAlignment="1">
      <alignment horizontal="center" vertical="top" wrapText="1"/>
    </xf>
    <xf numFmtId="4" fontId="98" fillId="0" borderId="38" xfId="745" applyNumberFormat="1" applyFont="1" applyBorder="1" applyAlignment="1">
      <alignment horizontal="right" vertical="top" shrinkToFit="1"/>
    </xf>
    <xf numFmtId="170" fontId="98" fillId="0" borderId="38" xfId="745" applyNumberFormat="1" applyFont="1" applyBorder="1" applyAlignment="1">
      <alignment horizontal="center" vertical="top" shrinkToFit="1"/>
    </xf>
    <xf numFmtId="0" fontId="96" fillId="0" borderId="36" xfId="745" applyFont="1" applyBorder="1" applyAlignment="1">
      <alignment horizontal="right" vertical="top" wrapText="1" indent="2"/>
    </xf>
    <xf numFmtId="10" fontId="98" fillId="0" borderId="38" xfId="745" applyNumberFormat="1" applyFont="1" applyBorder="1" applyAlignment="1">
      <alignment horizontal="center" vertical="top" shrinkToFit="1"/>
    </xf>
    <xf numFmtId="0" fontId="96" fillId="0" borderId="0" xfId="745" applyFont="1" applyAlignment="1">
      <alignment horizontal="left" vertical="top" wrapText="1"/>
    </xf>
    <xf numFmtId="4" fontId="98" fillId="0" borderId="0" xfId="745" applyNumberFormat="1" applyFont="1" applyAlignment="1">
      <alignment horizontal="right" vertical="top" shrinkToFit="1"/>
    </xf>
    <xf numFmtId="170" fontId="98" fillId="0" borderId="0" xfId="745" applyNumberFormat="1" applyFont="1" applyAlignment="1">
      <alignment horizontal="center" vertical="top" shrinkToFit="1"/>
    </xf>
    <xf numFmtId="0" fontId="96" fillId="0" borderId="46" xfId="745" applyFont="1" applyBorder="1" applyAlignment="1">
      <alignment horizontal="center" vertical="top" wrapText="1"/>
    </xf>
    <xf numFmtId="0" fontId="96" fillId="0" borderId="35" xfId="745" applyFont="1" applyBorder="1" applyAlignment="1">
      <alignment horizontal="left" vertical="center" wrapText="1" indent="3"/>
    </xf>
    <xf numFmtId="0" fontId="96" fillId="0" borderId="37" xfId="745" applyFont="1" applyBorder="1" applyAlignment="1">
      <alignment horizontal="left" vertical="top" wrapText="1"/>
    </xf>
    <xf numFmtId="10" fontId="98" fillId="0" borderId="37" xfId="745" applyNumberFormat="1" applyFont="1" applyBorder="1" applyAlignment="1">
      <alignment horizontal="center" vertical="top" shrinkToFit="1"/>
    </xf>
    <xf numFmtId="0" fontId="90" fillId="0" borderId="37" xfId="745" applyFont="1" applyBorder="1" applyAlignment="1">
      <alignment horizontal="left" vertical="top" wrapText="1" indent="5"/>
    </xf>
    <xf numFmtId="0" fontId="96" fillId="0" borderId="0" xfId="745" applyFont="1" applyAlignment="1">
      <alignment horizontal="center" vertical="top" wrapText="1"/>
    </xf>
    <xf numFmtId="0" fontId="96" fillId="0" borderId="0" xfId="745" applyFont="1" applyAlignment="1">
      <alignment horizontal="left" vertical="top" wrapText="1" indent="6"/>
    </xf>
    <xf numFmtId="0" fontId="84" fillId="0" borderId="37" xfId="745" applyBorder="1" applyAlignment="1">
      <alignment wrapText="1"/>
    </xf>
    <xf numFmtId="0" fontId="99" fillId="0" borderId="44" xfId="745" applyFont="1" applyBorder="1" applyAlignment="1">
      <alignment wrapText="1"/>
    </xf>
    <xf numFmtId="170" fontId="100" fillId="0" borderId="44" xfId="2" applyNumberFormat="1" applyFont="1" applyBorder="1" applyAlignment="1">
      <alignment horizontal="center" wrapText="1"/>
    </xf>
    <xf numFmtId="0" fontId="89" fillId="0" borderId="35" xfId="745" applyFont="1" applyBorder="1" applyAlignment="1">
      <alignment vertical="top" wrapText="1"/>
    </xf>
    <xf numFmtId="170" fontId="100" fillId="0" borderId="44" xfId="2" applyNumberFormat="1" applyFont="1" applyBorder="1" applyAlignment="1">
      <alignment vertical="center" wrapText="1"/>
    </xf>
    <xf numFmtId="170" fontId="100" fillId="0" borderId="0" xfId="2" applyNumberFormat="1" applyFont="1" applyBorder="1" applyAlignment="1">
      <alignment vertical="center" wrapText="1"/>
    </xf>
    <xf numFmtId="195" fontId="101" fillId="0" borderId="0" xfId="2" applyNumberFormat="1" applyFont="1" applyAlignment="1">
      <alignment vertical="center"/>
    </xf>
    <xf numFmtId="195" fontId="101" fillId="0" borderId="35" xfId="2" applyNumberFormat="1" applyFont="1" applyBorder="1" applyAlignment="1">
      <alignment vertical="center"/>
    </xf>
    <xf numFmtId="170" fontId="84" fillId="0" borderId="0" xfId="745" applyNumberFormat="1" applyAlignment="1">
      <alignment horizontal="left" vertical="top"/>
    </xf>
    <xf numFmtId="170" fontId="84" fillId="0" borderId="0" xfId="2" applyNumberFormat="1" applyFont="1" applyAlignment="1">
      <alignment horizontal="left" vertical="top"/>
    </xf>
    <xf numFmtId="0" fontId="2" fillId="0" borderId="1" xfId="0" applyFont="1" applyBorder="1" applyAlignment="1">
      <alignment horizontal="center" vertical="center"/>
    </xf>
    <xf numFmtId="171" fontId="2" fillId="0" borderId="1" xfId="0" quotePrefix="1" applyNumberFormat="1" applyFont="1" applyBorder="1" applyAlignment="1">
      <alignment horizontal="right"/>
    </xf>
    <xf numFmtId="4" fontId="2" fillId="0" borderId="1" xfId="0" applyNumberFormat="1" applyFont="1" applyBorder="1" applyAlignment="1">
      <alignment horizontal="right"/>
    </xf>
    <xf numFmtId="170" fontId="2" fillId="0" borderId="1" xfId="0" applyNumberFormat="1" applyFont="1" applyBorder="1" applyAlignment="1">
      <alignment horizontal="center"/>
    </xf>
    <xf numFmtId="170" fontId="2" fillId="0" borderId="0" xfId="0" applyNumberFormat="1" applyFont="1"/>
    <xf numFmtId="164" fontId="0" fillId="0" borderId="0" xfId="1" applyNumberFormat="1" applyFont="1" applyBorder="1"/>
    <xf numFmtId="10" fontId="0" fillId="0" borderId="0" xfId="2" applyNumberFormat="1" applyFont="1" applyBorder="1"/>
    <xf numFmtId="164" fontId="2" fillId="0" borderId="48" xfId="1" applyNumberFormat="1" applyFont="1" applyBorder="1"/>
    <xf numFmtId="0" fontId="2" fillId="0" borderId="48" xfId="0" applyFont="1" applyBorder="1"/>
    <xf numFmtId="164" fontId="1" fillId="0" borderId="1" xfId="1" applyNumberFormat="1" applyFont="1" applyBorder="1"/>
    <xf numFmtId="164" fontId="1" fillId="0" borderId="2" xfId="1" applyNumberFormat="1" applyFont="1" applyBorder="1"/>
    <xf numFmtId="164" fontId="1" fillId="0" borderId="4" xfId="1" applyNumberFormat="1" applyFont="1" applyBorder="1"/>
    <xf numFmtId="0" fontId="104" fillId="0" borderId="36" xfId="746" applyFont="1" applyBorder="1" applyAlignment="1">
      <alignment horizontal="center" vertical="top" wrapText="1"/>
    </xf>
    <xf numFmtId="196" fontId="105" fillId="0" borderId="36" xfId="746" applyNumberFormat="1" applyFont="1" applyBorder="1" applyAlignment="1">
      <alignment horizontal="center" vertical="top" shrinkToFit="1"/>
    </xf>
    <xf numFmtId="1" fontId="105" fillId="0" borderId="36" xfId="746" applyNumberFormat="1" applyFont="1" applyBorder="1" applyAlignment="1">
      <alignment horizontal="center" vertical="top" shrinkToFit="1"/>
    </xf>
    <xf numFmtId="197" fontId="105" fillId="0" borderId="36" xfId="746" applyNumberFormat="1" applyFont="1" applyBorder="1" applyAlignment="1">
      <alignment horizontal="center" vertical="top" shrinkToFit="1"/>
    </xf>
    <xf numFmtId="0" fontId="102" fillId="0" borderId="36" xfId="746" applyBorder="1" applyAlignment="1">
      <alignment horizontal="left" wrapText="1"/>
    </xf>
    <xf numFmtId="170" fontId="105" fillId="0" borderId="36" xfId="746" applyNumberFormat="1" applyFont="1" applyBorder="1" applyAlignment="1">
      <alignment horizontal="center" vertical="top" shrinkToFit="1"/>
    </xf>
    <xf numFmtId="0" fontId="103" fillId="54" borderId="36" xfId="747" applyFont="1" applyFill="1" applyBorder="1" applyAlignment="1">
      <alignment horizontal="center" vertical="top" wrapText="1"/>
    </xf>
    <xf numFmtId="0" fontId="102" fillId="0" borderId="36" xfId="748" applyBorder="1" applyAlignment="1">
      <alignment horizontal="left" wrapText="1"/>
    </xf>
    <xf numFmtId="0" fontId="107" fillId="0" borderId="36" xfId="748" applyFont="1" applyBorder="1" applyAlignment="1">
      <alignment horizontal="center" vertical="top" wrapText="1"/>
    </xf>
    <xf numFmtId="196" fontId="108" fillId="0" borderId="36" xfId="748" applyNumberFormat="1" applyFont="1" applyBorder="1" applyAlignment="1">
      <alignment horizontal="center" vertical="top" shrinkToFit="1"/>
    </xf>
    <xf numFmtId="4" fontId="108" fillId="0" borderId="36" xfId="748" applyNumberFormat="1" applyFont="1" applyBorder="1" applyAlignment="1">
      <alignment horizontal="right" vertical="top" shrinkToFit="1"/>
    </xf>
    <xf numFmtId="0" fontId="107" fillId="0" borderId="36" xfId="748" applyFont="1" applyBorder="1" applyAlignment="1">
      <alignment horizontal="left" vertical="top" wrapText="1" indent="2"/>
    </xf>
    <xf numFmtId="0" fontId="107" fillId="0" borderId="36" xfId="748" applyFont="1" applyBorder="1" applyAlignment="1">
      <alignment horizontal="right" vertical="top" wrapText="1"/>
    </xf>
    <xf numFmtId="170" fontId="108" fillId="0" borderId="36" xfId="748" applyNumberFormat="1" applyFont="1" applyBorder="1" applyAlignment="1">
      <alignment horizontal="center" vertical="top" shrinkToFit="1"/>
    </xf>
    <xf numFmtId="2" fontId="108" fillId="0" borderId="36" xfId="748" applyNumberFormat="1" applyFont="1" applyBorder="1" applyAlignment="1">
      <alignment horizontal="right" vertical="top" shrinkToFit="1"/>
    </xf>
    <xf numFmtId="166" fontId="108" fillId="0" borderId="36" xfId="748" applyNumberFormat="1" applyFont="1" applyBorder="1" applyAlignment="1">
      <alignment horizontal="center" vertical="top" shrinkToFit="1"/>
    </xf>
    <xf numFmtId="0" fontId="107" fillId="0" borderId="36" xfId="748" applyFont="1" applyBorder="1" applyAlignment="1">
      <alignment horizontal="left" vertical="top" wrapText="1" indent="1"/>
    </xf>
    <xf numFmtId="0" fontId="102" fillId="0" borderId="36" xfId="750" applyBorder="1" applyAlignment="1">
      <alignment horizontal="left" wrapText="1"/>
    </xf>
    <xf numFmtId="0" fontId="107" fillId="0" borderId="36" xfId="750" applyFont="1" applyBorder="1" applyAlignment="1">
      <alignment horizontal="center" vertical="top" wrapText="1"/>
    </xf>
    <xf numFmtId="196" fontId="108" fillId="0" borderId="36" xfId="750" applyNumberFormat="1" applyFont="1" applyBorder="1" applyAlignment="1">
      <alignment horizontal="center" vertical="top" shrinkToFit="1"/>
    </xf>
    <xf numFmtId="4" fontId="108" fillId="0" borderId="36" xfId="750" applyNumberFormat="1" applyFont="1" applyBorder="1" applyAlignment="1">
      <alignment horizontal="right" vertical="top" shrinkToFit="1"/>
    </xf>
    <xf numFmtId="0" fontId="107" fillId="0" borderId="36" xfId="750" applyFont="1" applyBorder="1" applyAlignment="1">
      <alignment horizontal="left" vertical="top" wrapText="1" indent="2"/>
    </xf>
    <xf numFmtId="0" fontId="107" fillId="0" borderId="36" xfId="750" applyFont="1" applyBorder="1" applyAlignment="1">
      <alignment horizontal="right" vertical="top" wrapText="1"/>
    </xf>
    <xf numFmtId="170" fontId="108" fillId="0" borderId="36" xfId="750" applyNumberFormat="1" applyFont="1" applyBorder="1" applyAlignment="1">
      <alignment horizontal="center" vertical="top" shrinkToFit="1"/>
    </xf>
    <xf numFmtId="2" fontId="108" fillId="0" borderId="36" xfId="750" applyNumberFormat="1" applyFont="1" applyBorder="1" applyAlignment="1">
      <alignment horizontal="right" vertical="top" shrinkToFit="1"/>
    </xf>
    <xf numFmtId="166" fontId="108" fillId="0" borderId="36" xfId="750" applyNumberFormat="1" applyFont="1" applyBorder="1" applyAlignment="1">
      <alignment horizontal="center" vertical="top" shrinkToFit="1"/>
    </xf>
    <xf numFmtId="0" fontId="106" fillId="54" borderId="36" xfId="751" applyFont="1" applyFill="1" applyBorder="1" applyAlignment="1">
      <alignment horizontal="center" vertical="top" wrapText="1"/>
    </xf>
    <xf numFmtId="0" fontId="106" fillId="54" borderId="36" xfId="751" applyFont="1" applyFill="1" applyBorder="1" applyAlignment="1">
      <alignment horizontal="left" vertical="top" wrapText="1" indent="1"/>
    </xf>
    <xf numFmtId="0" fontId="106" fillId="54" borderId="36" xfId="751" applyFont="1" applyFill="1" applyBorder="1" applyAlignment="1">
      <alignment horizontal="right" vertical="top" wrapText="1"/>
    </xf>
    <xf numFmtId="0" fontId="106" fillId="54" borderId="36" xfId="751" applyFont="1" applyFill="1" applyBorder="1" applyAlignment="1">
      <alignment horizontal="left" vertical="top" wrapText="1"/>
    </xf>
    <xf numFmtId="10" fontId="2" fillId="0" borderId="0" xfId="2" applyNumberFormat="1" applyFont="1" applyBorder="1"/>
    <xf numFmtId="164" fontId="1" fillId="0" borderId="3" xfId="1" applyNumberFormat="1" applyFont="1" applyBorder="1"/>
    <xf numFmtId="195" fontId="0" fillId="0" borderId="0" xfId="2" applyNumberFormat="1" applyFont="1"/>
    <xf numFmtId="10" fontId="0" fillId="3" borderId="0" xfId="0" applyNumberFormat="1" applyFill="1"/>
    <xf numFmtId="164" fontId="0" fillId="0" borderId="0" xfId="1" applyNumberFormat="1" applyFont="1" applyAlignment="1">
      <alignment horizontal="right"/>
    </xf>
    <xf numFmtId="164" fontId="0" fillId="0" borderId="0" xfId="2" applyNumberFormat="1" applyFont="1"/>
    <xf numFmtId="9" fontId="0" fillId="0" borderId="0" xfId="2" applyFont="1" applyBorder="1"/>
    <xf numFmtId="9" fontId="2" fillId="0" borderId="0" xfId="2" applyFont="1" applyBorder="1"/>
    <xf numFmtId="9" fontId="0" fillId="0" borderId="0" xfId="2" applyFont="1" applyAlignment="1">
      <alignment horizontal="right" indent="1"/>
    </xf>
    <xf numFmtId="9" fontId="2" fillId="0" borderId="0" xfId="2" applyFont="1" applyAlignment="1">
      <alignment horizontal="right" indent="1"/>
    </xf>
    <xf numFmtId="10" fontId="0" fillId="3" borderId="0" xfId="2" applyNumberFormat="1" applyFont="1" applyFill="1" applyBorder="1"/>
    <xf numFmtId="10" fontId="0" fillId="3" borderId="13" xfId="2" applyNumberFormat="1" applyFont="1" applyFill="1" applyBorder="1"/>
    <xf numFmtId="9" fontId="0" fillId="0" borderId="0" xfId="2" quotePrefix="1" applyFont="1" applyAlignment="1">
      <alignment horizontal="right" indent="1"/>
    </xf>
    <xf numFmtId="164" fontId="0" fillId="0" borderId="4" xfId="1" quotePrefix="1" applyNumberFormat="1" applyFont="1" applyBorder="1" applyAlignment="1">
      <alignment horizontal="right" indent="1"/>
    </xf>
    <xf numFmtId="164" fontId="0" fillId="0" borderId="3" xfId="1" quotePrefix="1" applyNumberFormat="1" applyFont="1" applyBorder="1" applyAlignment="1">
      <alignment horizontal="right" indent="3"/>
    </xf>
    <xf numFmtId="3" fontId="2" fillId="0" borderId="6" xfId="0" applyNumberFormat="1" applyFont="1" applyBorder="1" applyAlignment="1">
      <alignment horizontal="right"/>
    </xf>
    <xf numFmtId="0" fontId="0" fillId="56" borderId="0" xfId="0" applyFill="1"/>
    <xf numFmtId="164" fontId="0" fillId="56" borderId="0" xfId="1" applyNumberFormat="1" applyFont="1" applyFill="1"/>
    <xf numFmtId="0" fontId="2" fillId="56" borderId="0" xfId="0" applyFont="1" applyFill="1"/>
    <xf numFmtId="164" fontId="2" fillId="56" borderId="0" xfId="1" applyNumberFormat="1" applyFont="1" applyFill="1"/>
    <xf numFmtId="9" fontId="2" fillId="0" borderId="0" xfId="2" quotePrefix="1" applyFont="1" applyAlignment="1">
      <alignment horizontal="right" indent="1"/>
    </xf>
    <xf numFmtId="10" fontId="2" fillId="0" borderId="0" xfId="2" applyNumberFormat="1" applyFont="1" applyFill="1"/>
    <xf numFmtId="43" fontId="2" fillId="0" borderId="0" xfId="0" applyNumberFormat="1" applyFont="1"/>
    <xf numFmtId="164" fontId="2" fillId="0" borderId="1" xfId="1" applyNumberFormat="1" applyFont="1" applyBorder="1" applyAlignment="1">
      <alignment horizontal="right"/>
    </xf>
    <xf numFmtId="2" fontId="2" fillId="0" borderId="1" xfId="0" applyNumberFormat="1" applyFont="1" applyBorder="1" applyAlignment="1">
      <alignment horizontal="right"/>
    </xf>
    <xf numFmtId="10" fontId="2" fillId="0" borderId="1" xfId="2" applyNumberFormat="1" applyFont="1" applyBorder="1" applyAlignment="1">
      <alignment horizontal="right"/>
    </xf>
    <xf numFmtId="10" fontId="2" fillId="0" borderId="1" xfId="0" applyNumberFormat="1" applyFont="1" applyBorder="1" applyAlignment="1">
      <alignment horizontal="right"/>
    </xf>
    <xf numFmtId="10" fontId="2" fillId="3" borderId="0" xfId="0" applyNumberFormat="1" applyFont="1" applyFill="1"/>
    <xf numFmtId="165" fontId="2" fillId="3" borderId="0" xfId="2" applyNumberFormat="1" applyFont="1" applyFill="1"/>
    <xf numFmtId="10" fontId="2" fillId="3" borderId="0" xfId="2" applyNumberFormat="1" applyFont="1" applyFill="1"/>
    <xf numFmtId="2" fontId="0" fillId="3" borderId="0" xfId="0" applyNumberFormat="1" applyFill="1"/>
    <xf numFmtId="164" fontId="0" fillId="4" borderId="0" xfId="2" applyNumberFormat="1" applyFont="1" applyFill="1"/>
    <xf numFmtId="164" fontId="0" fillId="3" borderId="3" xfId="1" applyNumberFormat="1" applyFont="1" applyFill="1" applyBorder="1"/>
    <xf numFmtId="164" fontId="0" fillId="3" borderId="2" xfId="1" applyNumberFormat="1" applyFont="1" applyFill="1" applyBorder="1"/>
    <xf numFmtId="164" fontId="0" fillId="8" borderId="2" xfId="1" quotePrefix="1" applyNumberFormat="1" applyFont="1" applyFill="1" applyBorder="1"/>
    <xf numFmtId="43" fontId="0" fillId="8" borderId="4" xfId="1" applyFont="1" applyFill="1" applyBorder="1"/>
    <xf numFmtId="43" fontId="0" fillId="8" borderId="3" xfId="1" quotePrefix="1" applyFont="1" applyFill="1" applyBorder="1"/>
    <xf numFmtId="43" fontId="0" fillId="8" borderId="3" xfId="1" applyFont="1" applyFill="1" applyBorder="1"/>
    <xf numFmtId="43" fontId="0" fillId="8" borderId="2" xfId="1" quotePrefix="1" applyFont="1" applyFill="1" applyBorder="1"/>
    <xf numFmtId="164" fontId="0" fillId="8" borderId="3" xfId="1" quotePrefix="1" applyNumberFormat="1" applyFont="1" applyFill="1" applyBorder="1"/>
    <xf numFmtId="164" fontId="0" fillId="8" borderId="4" xfId="1" quotePrefix="1" applyNumberFormat="1" applyFont="1" applyFill="1" applyBorder="1"/>
    <xf numFmtId="10" fontId="2" fillId="0" borderId="0" xfId="2" quotePrefix="1" applyNumberFormat="1" applyFont="1" applyAlignment="1">
      <alignment horizontal="right" indent="1"/>
    </xf>
    <xf numFmtId="10" fontId="0" fillId="4" borderId="0" xfId="0" applyNumberFormat="1" applyFill="1"/>
    <xf numFmtId="9" fontId="0" fillId="3" borderId="0" xfId="2" quotePrefix="1" applyFont="1" applyFill="1" applyAlignment="1">
      <alignment horizontal="right" indent="1"/>
    </xf>
    <xf numFmtId="43" fontId="2" fillId="0" borderId="1" xfId="1" applyFont="1" applyBorder="1"/>
    <xf numFmtId="43" fontId="2" fillId="0" borderId="0" xfId="1" applyFont="1" applyBorder="1"/>
    <xf numFmtId="0" fontId="2" fillId="0" borderId="0" xfId="0" applyFont="1" applyAlignment="1">
      <alignment horizontal="centerContinuous" wrapText="1"/>
    </xf>
    <xf numFmtId="0" fontId="84" fillId="0" borderId="38" xfId="745" applyBorder="1" applyAlignment="1">
      <alignment horizontal="left" vertical="center" wrapText="1"/>
    </xf>
    <xf numFmtId="0" fontId="90" fillId="0" borderId="38" xfId="745" applyFont="1" applyBorder="1" applyAlignment="1">
      <alignment horizontal="left" vertical="top" wrapText="1"/>
    </xf>
    <xf numFmtId="0" fontId="90" fillId="0" borderId="41" xfId="745" applyFont="1" applyBorder="1" applyAlignment="1">
      <alignment horizontal="left" vertical="center" wrapText="1"/>
    </xf>
    <xf numFmtId="0" fontId="90" fillId="0" borderId="41" xfId="745" applyFont="1" applyBorder="1" applyAlignment="1">
      <alignment horizontal="center" vertical="top" wrapText="1"/>
    </xf>
    <xf numFmtId="0" fontId="90" fillId="0" borderId="40" xfId="745" applyFont="1" applyBorder="1" applyAlignment="1">
      <alignment horizontal="left" vertical="top" wrapText="1" indent="4"/>
    </xf>
    <xf numFmtId="0" fontId="90" fillId="0" borderId="42" xfId="745" applyFont="1" applyBorder="1" applyAlignment="1">
      <alignment horizontal="left" vertical="top" wrapText="1" indent="4"/>
    </xf>
    <xf numFmtId="0" fontId="96" fillId="0" borderId="38" xfId="745" applyFont="1" applyBorder="1" applyAlignment="1">
      <alignment horizontal="left" vertical="top" wrapText="1"/>
    </xf>
    <xf numFmtId="0" fontId="96" fillId="0" borderId="38" xfId="745" applyFont="1" applyBorder="1" applyAlignment="1">
      <alignment horizontal="center" vertical="top" wrapText="1"/>
    </xf>
    <xf numFmtId="0" fontId="6" fillId="0" borderId="0" xfId="0" applyFont="1" applyAlignment="1">
      <alignment horizontal="center"/>
    </xf>
    <xf numFmtId="0" fontId="5" fillId="0" borderId="0" xfId="0" applyFont="1" applyAlignment="1">
      <alignment horizontal="right"/>
    </xf>
    <xf numFmtId="0" fontId="2" fillId="8"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0" borderId="0" xfId="0" applyFont="1" applyAlignment="1">
      <alignment horizontal="center"/>
    </xf>
    <xf numFmtId="170" fontId="2" fillId="0" borderId="11" xfId="0" applyNumberFormat="1" applyFont="1" applyBorder="1" applyAlignment="1">
      <alignment horizontal="center"/>
    </xf>
    <xf numFmtId="170" fontId="2" fillId="0" borderId="17" xfId="0" applyNumberFormat="1" applyFont="1" applyBorder="1" applyAlignment="1">
      <alignment horizontal="center"/>
    </xf>
    <xf numFmtId="170" fontId="2" fillId="0" borderId="12" xfId="0" applyNumberFormat="1" applyFont="1" applyBorder="1" applyAlignment="1">
      <alignment horizontal="center"/>
    </xf>
    <xf numFmtId="0" fontId="0" fillId="0" borderId="0" xfId="0" applyAlignment="1">
      <alignment horizontal="center"/>
    </xf>
    <xf numFmtId="0" fontId="2" fillId="0" borderId="0" xfId="0" applyFont="1" applyAlignment="1">
      <alignment horizontal="center"/>
    </xf>
    <xf numFmtId="0" fontId="96" fillId="0" borderId="40" xfId="745" applyFont="1" applyBorder="1" applyAlignment="1">
      <alignment horizontal="left" vertical="top" wrapText="1" indent="6"/>
    </xf>
    <xf numFmtId="0" fontId="96" fillId="0" borderId="42" xfId="745" applyFont="1" applyBorder="1" applyAlignment="1">
      <alignment horizontal="left" vertical="top" wrapText="1" indent="6"/>
    </xf>
    <xf numFmtId="0" fontId="96" fillId="0" borderId="38" xfId="745" applyFont="1" applyBorder="1" applyAlignment="1">
      <alignment horizontal="center" vertical="top" wrapText="1"/>
    </xf>
    <xf numFmtId="0" fontId="96" fillId="0" borderId="41" xfId="745" applyFont="1" applyBorder="1" applyAlignment="1">
      <alignment horizontal="center" vertical="top" wrapText="1"/>
    </xf>
    <xf numFmtId="0" fontId="96" fillId="0" borderId="39" xfId="745" applyFont="1" applyBorder="1" applyAlignment="1">
      <alignment horizontal="center" vertical="top" wrapText="1"/>
    </xf>
    <xf numFmtId="0" fontId="96" fillId="0" borderId="38" xfId="745" applyFont="1" applyBorder="1" applyAlignment="1">
      <alignment horizontal="left" vertical="center" wrapText="1" indent="2"/>
    </xf>
    <xf numFmtId="0" fontId="96" fillId="0" borderId="41" xfId="745" applyFont="1" applyBorder="1" applyAlignment="1">
      <alignment horizontal="left" vertical="center" wrapText="1" indent="2"/>
    </xf>
    <xf numFmtId="0" fontId="96" fillId="0" borderId="39" xfId="745" applyFont="1" applyBorder="1" applyAlignment="1">
      <alignment horizontal="left" vertical="center" wrapText="1" indent="2"/>
    </xf>
    <xf numFmtId="0" fontId="96" fillId="0" borderId="38" xfId="745" applyFont="1" applyBorder="1" applyAlignment="1">
      <alignment horizontal="left" vertical="center" wrapText="1" indent="1"/>
    </xf>
    <xf numFmtId="0" fontId="96" fillId="0" borderId="41" xfId="745" applyFont="1" applyBorder="1" applyAlignment="1">
      <alignment horizontal="left" vertical="center" wrapText="1" indent="1"/>
    </xf>
    <xf numFmtId="0" fontId="96" fillId="0" borderId="39" xfId="745" applyFont="1" applyBorder="1" applyAlignment="1">
      <alignment horizontal="left" vertical="center" wrapText="1" indent="1"/>
    </xf>
    <xf numFmtId="0" fontId="84" fillId="0" borderId="37" xfId="745" applyBorder="1" applyAlignment="1">
      <alignment horizontal="left" wrapText="1"/>
    </xf>
    <xf numFmtId="0" fontId="96" fillId="0" borderId="38" xfId="745" applyFont="1" applyBorder="1" applyAlignment="1">
      <alignment horizontal="left" vertical="top" wrapText="1"/>
    </xf>
    <xf numFmtId="0" fontId="96" fillId="0" borderId="41" xfId="745" applyFont="1" applyBorder="1" applyAlignment="1">
      <alignment horizontal="left" vertical="top" wrapText="1"/>
    </xf>
    <xf numFmtId="0" fontId="90" fillId="0" borderId="40" xfId="745" applyFont="1" applyBorder="1" applyAlignment="1">
      <alignment horizontal="left" vertical="top" wrapText="1" indent="5"/>
    </xf>
    <xf numFmtId="0" fontId="90" fillId="0" borderId="42" xfId="745" applyFont="1" applyBorder="1" applyAlignment="1">
      <alignment horizontal="left" vertical="top" wrapText="1" indent="5"/>
    </xf>
    <xf numFmtId="0" fontId="96" fillId="0" borderId="38" xfId="745" applyFont="1" applyBorder="1" applyAlignment="1">
      <alignment horizontal="left" vertical="center" wrapText="1" indent="3"/>
    </xf>
    <xf numFmtId="0" fontId="96" fillId="0" borderId="41" xfId="745" applyFont="1" applyBorder="1" applyAlignment="1">
      <alignment horizontal="left" vertical="center" wrapText="1" indent="3"/>
    </xf>
    <xf numFmtId="0" fontId="96" fillId="0" borderId="39" xfId="745" applyFont="1" applyBorder="1" applyAlignment="1">
      <alignment horizontal="left" vertical="center" wrapText="1" indent="3"/>
    </xf>
    <xf numFmtId="0" fontId="96" fillId="0" borderId="39" xfId="745" applyFont="1" applyBorder="1" applyAlignment="1">
      <alignment horizontal="left" vertical="top" wrapText="1"/>
    </xf>
    <xf numFmtId="0" fontId="96" fillId="0" borderId="38" xfId="745" applyFont="1" applyBorder="1" applyAlignment="1">
      <alignment horizontal="left" vertical="top" wrapText="1" indent="2"/>
    </xf>
    <xf numFmtId="0" fontId="96" fillId="0" borderId="41" xfId="745" applyFont="1" applyBorder="1" applyAlignment="1">
      <alignment horizontal="left" vertical="top" wrapText="1" indent="2"/>
    </xf>
    <xf numFmtId="0" fontId="96" fillId="0" borderId="39" xfId="745" applyFont="1" applyBorder="1" applyAlignment="1">
      <alignment horizontal="left" vertical="top" wrapText="1" indent="2"/>
    </xf>
    <xf numFmtId="0" fontId="96" fillId="0" borderId="38" xfId="745" applyFont="1" applyBorder="1" applyAlignment="1">
      <alignment horizontal="left" vertical="top" wrapText="1" indent="1"/>
    </xf>
    <xf numFmtId="0" fontId="96" fillId="0" borderId="41" xfId="745" applyFont="1" applyBorder="1" applyAlignment="1">
      <alignment horizontal="left" vertical="top" wrapText="1" indent="1"/>
    </xf>
    <xf numFmtId="0" fontId="96" fillId="0" borderId="39" xfId="745" applyFont="1" applyBorder="1" applyAlignment="1">
      <alignment horizontal="left" vertical="top" wrapText="1" indent="1"/>
    </xf>
    <xf numFmtId="0" fontId="90" fillId="0" borderId="38" xfId="745" applyFont="1" applyBorder="1" applyAlignment="1">
      <alignment horizontal="center" vertical="top" wrapText="1"/>
    </xf>
    <xf numFmtId="0" fontId="90" fillId="0" borderId="41" xfId="745" applyFont="1" applyBorder="1" applyAlignment="1">
      <alignment horizontal="center" vertical="top" wrapText="1"/>
    </xf>
    <xf numFmtId="0" fontId="90" fillId="0" borderId="39" xfId="745" applyFont="1" applyBorder="1" applyAlignment="1">
      <alignment horizontal="center" vertical="top" wrapText="1"/>
    </xf>
    <xf numFmtId="0" fontId="90" fillId="0" borderId="38" xfId="745" applyFont="1" applyBorder="1" applyAlignment="1">
      <alignment horizontal="left" vertical="center" wrapText="1" indent="2"/>
    </xf>
    <xf numFmtId="0" fontId="90" fillId="0" borderId="41" xfId="745" applyFont="1" applyBorder="1" applyAlignment="1">
      <alignment horizontal="left" vertical="center" wrapText="1" indent="2"/>
    </xf>
    <xf numFmtId="0" fontId="90" fillId="0" borderId="39" xfId="745" applyFont="1" applyBorder="1" applyAlignment="1">
      <alignment horizontal="left" vertical="center" wrapText="1" indent="2"/>
    </xf>
    <xf numFmtId="0" fontId="90" fillId="0" borderId="40" xfId="745" applyFont="1" applyBorder="1" applyAlignment="1">
      <alignment horizontal="left" vertical="top" wrapText="1" indent="4"/>
    </xf>
    <xf numFmtId="0" fontId="90" fillId="0" borderId="42" xfId="745" applyFont="1" applyBorder="1" applyAlignment="1">
      <alignment horizontal="left" vertical="top" wrapText="1" indent="4"/>
    </xf>
    <xf numFmtId="0" fontId="90" fillId="0" borderId="38" xfId="745" applyFont="1" applyBorder="1" applyAlignment="1">
      <alignment horizontal="left" vertical="center" wrapText="1" indent="1"/>
    </xf>
    <xf numFmtId="0" fontId="90" fillId="0" borderId="41" xfId="745" applyFont="1" applyBorder="1" applyAlignment="1">
      <alignment horizontal="left" vertical="center" wrapText="1" indent="1"/>
    </xf>
    <xf numFmtId="0" fontId="90" fillId="0" borderId="39" xfId="745" applyFont="1" applyBorder="1" applyAlignment="1">
      <alignment horizontal="left" vertical="center" wrapText="1" indent="1"/>
    </xf>
    <xf numFmtId="0" fontId="89" fillId="0" borderId="35" xfId="745" applyFont="1" applyBorder="1" applyAlignment="1">
      <alignment horizontal="right" vertical="top" wrapText="1"/>
    </xf>
    <xf numFmtId="0" fontId="90" fillId="0" borderId="38" xfId="745" applyFont="1" applyBorder="1" applyAlignment="1">
      <alignment horizontal="left" vertical="center" wrapText="1"/>
    </xf>
    <xf numFmtId="0" fontId="90" fillId="0" borderId="41" xfId="745" applyFont="1" applyBorder="1" applyAlignment="1">
      <alignment horizontal="left" vertical="center" wrapText="1"/>
    </xf>
    <xf numFmtId="0" fontId="90" fillId="0" borderId="43" xfId="745" applyFont="1" applyBorder="1" applyAlignment="1">
      <alignment horizontal="left" vertical="top" wrapText="1" indent="4"/>
    </xf>
    <xf numFmtId="0" fontId="90" fillId="0" borderId="45" xfId="745" applyFont="1" applyBorder="1" applyAlignment="1">
      <alignment horizontal="left" vertical="top" wrapText="1" indent="4"/>
    </xf>
    <xf numFmtId="0" fontId="90" fillId="0" borderId="39" xfId="745" applyFont="1" applyBorder="1" applyAlignment="1">
      <alignment horizontal="left" vertical="center" wrapText="1"/>
    </xf>
    <xf numFmtId="0" fontId="90" fillId="0" borderId="38" xfId="745" applyFont="1" applyBorder="1" applyAlignment="1">
      <alignment horizontal="left" vertical="top" wrapText="1" indent="3"/>
    </xf>
    <xf numFmtId="0" fontId="90" fillId="0" borderId="41" xfId="745" applyFont="1" applyBorder="1" applyAlignment="1">
      <alignment horizontal="left" vertical="top" wrapText="1" indent="3"/>
    </xf>
    <xf numFmtId="0" fontId="90" fillId="0" borderId="39" xfId="745" applyFont="1" applyBorder="1" applyAlignment="1">
      <alignment horizontal="left" vertical="top" wrapText="1" indent="3"/>
    </xf>
    <xf numFmtId="0" fontId="84" fillId="0" borderId="38" xfId="745" applyBorder="1" applyAlignment="1">
      <alignment horizontal="left" vertical="center" wrapText="1"/>
    </xf>
    <xf numFmtId="0" fontId="84" fillId="0" borderId="41" xfId="745" applyBorder="1" applyAlignment="1">
      <alignment horizontal="left" vertical="center" wrapText="1"/>
    </xf>
    <xf numFmtId="0" fontId="90" fillId="0" borderId="43" xfId="745" applyFont="1" applyBorder="1" applyAlignment="1">
      <alignment horizontal="left" vertical="top" wrapText="1" indent="5"/>
    </xf>
    <xf numFmtId="0" fontId="90" fillId="0" borderId="45" xfId="745" applyFont="1" applyBorder="1" applyAlignment="1">
      <alignment horizontal="left" vertical="top" wrapText="1" indent="5"/>
    </xf>
    <xf numFmtId="0" fontId="90" fillId="0" borderId="38" xfId="745" applyFont="1" applyBorder="1" applyAlignment="1">
      <alignment horizontal="left" vertical="top" wrapText="1" indent="5"/>
    </xf>
    <xf numFmtId="0" fontId="90" fillId="0" borderId="39" xfId="745" applyFont="1" applyBorder="1" applyAlignment="1">
      <alignment horizontal="left" vertical="top" wrapText="1" indent="5"/>
    </xf>
    <xf numFmtId="0" fontId="84" fillId="0" borderId="39" xfId="745" applyBorder="1" applyAlignment="1">
      <alignment horizontal="left" vertical="center" wrapText="1"/>
    </xf>
    <xf numFmtId="0" fontId="90" fillId="0" borderId="38" xfId="745" applyFont="1" applyBorder="1" applyAlignment="1">
      <alignment horizontal="left" wrapText="1" indent="2"/>
    </xf>
    <xf numFmtId="0" fontId="90" fillId="0" borderId="41" xfId="745" applyFont="1" applyBorder="1" applyAlignment="1">
      <alignment horizontal="left" wrapText="1" indent="2"/>
    </xf>
    <xf numFmtId="0" fontId="84" fillId="0" borderId="38" xfId="745" applyBorder="1" applyAlignment="1">
      <alignment horizontal="center" vertical="top" wrapText="1"/>
    </xf>
    <xf numFmtId="0" fontId="84" fillId="0" borderId="41" xfId="745" applyBorder="1" applyAlignment="1">
      <alignment horizontal="center" vertical="top" wrapText="1"/>
    </xf>
    <xf numFmtId="0" fontId="84" fillId="0" borderId="39" xfId="745" applyBorder="1" applyAlignment="1">
      <alignment horizontal="center" vertical="top" wrapText="1"/>
    </xf>
    <xf numFmtId="0" fontId="90" fillId="0" borderId="40" xfId="745" applyFont="1" applyBorder="1" applyAlignment="1">
      <alignment horizontal="left" vertical="top" wrapText="1"/>
    </xf>
    <xf numFmtId="0" fontId="90" fillId="0" borderId="42" xfId="745" applyFont="1" applyBorder="1" applyAlignment="1">
      <alignment horizontal="left" vertical="top" wrapText="1"/>
    </xf>
    <xf numFmtId="0" fontId="90" fillId="0" borderId="38" xfId="745" applyFont="1" applyBorder="1" applyAlignment="1">
      <alignment horizontal="left" vertical="center" wrapText="1" indent="3"/>
    </xf>
    <xf numFmtId="0" fontId="90" fillId="0" borderId="41" xfId="745" applyFont="1" applyBorder="1" applyAlignment="1">
      <alignment horizontal="left" vertical="center" wrapText="1" indent="3"/>
    </xf>
    <xf numFmtId="0" fontId="90" fillId="0" borderId="39" xfId="745" applyFont="1" applyBorder="1" applyAlignment="1">
      <alignment horizontal="left" vertical="center" wrapText="1" indent="3"/>
    </xf>
    <xf numFmtId="0" fontId="84" fillId="0" borderId="38" xfId="745" applyBorder="1" applyAlignment="1">
      <alignment horizontal="left" vertical="top" wrapText="1"/>
    </xf>
    <xf numFmtId="0" fontId="84" fillId="0" borderId="41" xfId="745" applyBorder="1" applyAlignment="1">
      <alignment horizontal="left" vertical="top" wrapText="1"/>
    </xf>
    <xf numFmtId="0" fontId="84" fillId="0" borderId="39" xfId="745" applyBorder="1" applyAlignment="1">
      <alignment horizontal="left" vertical="top" wrapText="1"/>
    </xf>
    <xf numFmtId="0" fontId="90" fillId="0" borderId="41" xfId="745" applyFont="1" applyBorder="1" applyAlignment="1">
      <alignment horizontal="left" vertical="top" wrapText="1" indent="5"/>
    </xf>
    <xf numFmtId="0" fontId="90" fillId="0" borderId="38" xfId="745" applyFont="1" applyBorder="1" applyAlignment="1">
      <alignment horizontal="left" vertical="top" wrapText="1" indent="2"/>
    </xf>
    <xf numFmtId="0" fontId="90" fillId="0" borderId="41" xfId="745" applyFont="1" applyBorder="1" applyAlignment="1">
      <alignment horizontal="left" vertical="top" wrapText="1" indent="2"/>
    </xf>
    <xf numFmtId="0" fontId="90" fillId="0" borderId="39" xfId="745" applyFont="1" applyBorder="1" applyAlignment="1">
      <alignment horizontal="left" vertical="top" wrapText="1" indent="2"/>
    </xf>
    <xf numFmtId="0" fontId="90" fillId="0" borderId="38" xfId="745" applyFont="1" applyBorder="1" applyAlignment="1">
      <alignment horizontal="left" vertical="top" wrapText="1"/>
    </xf>
    <xf numFmtId="0" fontId="90" fillId="0" borderId="41" xfId="745" applyFont="1" applyBorder="1" applyAlignment="1">
      <alignment horizontal="left" vertical="top" wrapText="1"/>
    </xf>
    <xf numFmtId="0" fontId="90" fillId="0" borderId="39" xfId="745" applyFont="1" applyBorder="1" applyAlignment="1">
      <alignment horizontal="left" vertical="top" wrapText="1"/>
    </xf>
    <xf numFmtId="0" fontId="90" fillId="0" borderId="38" xfId="745" applyFont="1" applyBorder="1" applyAlignment="1">
      <alignment horizontal="left" vertical="top" wrapText="1" indent="1"/>
    </xf>
    <xf numFmtId="0" fontId="90" fillId="0" borderId="41" xfId="745" applyFont="1" applyBorder="1" applyAlignment="1">
      <alignment horizontal="left" vertical="top" wrapText="1" indent="1"/>
    </xf>
    <xf numFmtId="0" fontId="90" fillId="0" borderId="39" xfId="745" applyFont="1" applyBorder="1" applyAlignment="1">
      <alignment horizontal="left" vertical="top" wrapText="1" indent="1"/>
    </xf>
    <xf numFmtId="4" fontId="94" fillId="0" borderId="37" xfId="745" applyNumberFormat="1" applyFont="1" applyBorder="1" applyAlignment="1">
      <alignment horizontal="right" vertical="top" indent="11" shrinkToFit="1"/>
    </xf>
    <xf numFmtId="0" fontId="90" fillId="0" borderId="40" xfId="745" applyFont="1" applyBorder="1" applyAlignment="1">
      <alignment horizontal="left" vertical="top" wrapText="1" indent="6"/>
    </xf>
    <xf numFmtId="0" fontId="90" fillId="0" borderId="42" xfId="745" applyFont="1" applyBorder="1" applyAlignment="1">
      <alignment horizontal="left" vertical="top" wrapText="1" indent="6"/>
    </xf>
    <xf numFmtId="0" fontId="85" fillId="0" borderId="0" xfId="745" applyFont="1" applyAlignment="1">
      <alignment horizontal="center" vertical="top" wrapText="1"/>
    </xf>
    <xf numFmtId="0" fontId="89" fillId="0" borderId="37" xfId="745" applyFont="1" applyBorder="1" applyAlignment="1">
      <alignment horizontal="right" vertical="top" wrapText="1"/>
    </xf>
    <xf numFmtId="0" fontId="90" fillId="0" borderId="38" xfId="745" applyFont="1" applyBorder="1" applyAlignment="1">
      <alignment horizontal="left" vertical="top" wrapText="1" indent="4"/>
    </xf>
    <xf numFmtId="0" fontId="90" fillId="0" borderId="41" xfId="745" applyFont="1" applyBorder="1" applyAlignment="1">
      <alignment horizontal="left" vertical="top" wrapText="1" indent="4"/>
    </xf>
    <xf numFmtId="0" fontId="90" fillId="0" borderId="39" xfId="745" applyFont="1" applyBorder="1" applyAlignment="1">
      <alignment horizontal="left" vertical="top" wrapText="1" indent="4"/>
    </xf>
    <xf numFmtId="0" fontId="90" fillId="0" borderId="46" xfId="745" applyFont="1" applyBorder="1" applyAlignment="1">
      <alignment horizontal="left" vertical="top" wrapText="1" indent="5"/>
    </xf>
    <xf numFmtId="0" fontId="90" fillId="0" borderId="47" xfId="745" applyFont="1" applyBorder="1" applyAlignment="1">
      <alignment horizontal="left" vertical="top" wrapText="1" indent="5"/>
    </xf>
    <xf numFmtId="0" fontId="103" fillId="54" borderId="38" xfId="747" applyFont="1" applyFill="1" applyBorder="1" applyAlignment="1">
      <alignment horizontal="left" vertical="top" wrapText="1"/>
    </xf>
    <xf numFmtId="0" fontId="103" fillId="54" borderId="39" xfId="747" applyFont="1" applyFill="1" applyBorder="1" applyAlignment="1">
      <alignment horizontal="left" vertical="top" wrapText="1"/>
    </xf>
    <xf numFmtId="0" fontId="102" fillId="54" borderId="38" xfId="747" applyFill="1" applyBorder="1" applyAlignment="1">
      <alignment horizontal="left" vertical="top" wrapText="1" indent="1"/>
    </xf>
    <xf numFmtId="0" fontId="102" fillId="54" borderId="39" xfId="747" applyFill="1" applyBorder="1" applyAlignment="1">
      <alignment horizontal="left" vertical="top" wrapText="1" indent="1"/>
    </xf>
    <xf numFmtId="0" fontId="103" fillId="54" borderId="40" xfId="747" applyFont="1" applyFill="1" applyBorder="1" applyAlignment="1">
      <alignment horizontal="center" vertical="top" wrapText="1"/>
    </xf>
    <xf numFmtId="0" fontId="103" fillId="54" borderId="37" xfId="747" applyFont="1" applyFill="1" applyBorder="1" applyAlignment="1">
      <alignment horizontal="center" vertical="top" wrapText="1"/>
    </xf>
    <xf numFmtId="0" fontId="103" fillId="54" borderId="38" xfId="747" applyFont="1" applyFill="1" applyBorder="1" applyAlignment="1">
      <alignment horizontal="left" vertical="top" wrapText="1" indent="2"/>
    </xf>
    <xf numFmtId="0" fontId="103" fillId="54" borderId="39" xfId="747" applyFont="1" applyFill="1" applyBorder="1" applyAlignment="1">
      <alignment horizontal="left" vertical="top" wrapText="1" indent="2"/>
    </xf>
    <xf numFmtId="0" fontId="103" fillId="54" borderId="38" xfId="747" applyFont="1" applyFill="1" applyBorder="1" applyAlignment="1">
      <alignment horizontal="left" vertical="top" wrapText="1" indent="1"/>
    </xf>
    <xf numFmtId="0" fontId="103" fillId="54" borderId="39" xfId="747" applyFont="1" applyFill="1" applyBorder="1" applyAlignment="1">
      <alignment horizontal="left" vertical="top" wrapText="1" indent="1"/>
    </xf>
    <xf numFmtId="0" fontId="102" fillId="55" borderId="49" xfId="746" applyFill="1" applyBorder="1" applyAlignment="1">
      <alignment horizontal="left" wrapText="1"/>
    </xf>
    <xf numFmtId="0" fontId="102" fillId="55" borderId="0" xfId="746" applyFill="1" applyAlignment="1">
      <alignment horizontal="left" wrapText="1"/>
    </xf>
    <xf numFmtId="0" fontId="102" fillId="55" borderId="49" xfId="746" applyFill="1" applyBorder="1" applyAlignment="1">
      <alignment horizontal="left" vertical="top" wrapText="1"/>
    </xf>
    <xf numFmtId="0" fontId="102" fillId="55" borderId="0" xfId="746" applyFill="1" applyAlignment="1">
      <alignment horizontal="left" vertical="top" wrapText="1"/>
    </xf>
    <xf numFmtId="0" fontId="102" fillId="55" borderId="46" xfId="746" applyFill="1" applyBorder="1" applyAlignment="1">
      <alignment horizontal="left" vertical="top" wrapText="1"/>
    </xf>
    <xf numFmtId="0" fontId="102" fillId="55" borderId="35" xfId="746" applyFill="1" applyBorder="1" applyAlignment="1">
      <alignment horizontal="left" vertical="top" wrapText="1"/>
    </xf>
    <xf numFmtId="0" fontId="102" fillId="55" borderId="46" xfId="746" applyFill="1" applyBorder="1" applyAlignment="1">
      <alignment horizontal="left" wrapText="1"/>
    </xf>
    <xf numFmtId="0" fontId="102" fillId="55" borderId="35" xfId="746" applyFill="1" applyBorder="1" applyAlignment="1">
      <alignment horizontal="left" wrapText="1"/>
    </xf>
    <xf numFmtId="0" fontId="102" fillId="55" borderId="43" xfId="746" applyFill="1" applyBorder="1" applyAlignment="1">
      <alignment horizontal="left" wrapText="1"/>
    </xf>
    <xf numFmtId="0" fontId="102" fillId="55" borderId="44" xfId="746" applyFill="1" applyBorder="1" applyAlignment="1">
      <alignment horizontal="left" wrapText="1"/>
    </xf>
    <xf numFmtId="0" fontId="28" fillId="0" borderId="0" xfId="745" applyFont="1" applyAlignment="1">
      <alignment horizontal="center" vertical="top" wrapText="1"/>
    </xf>
    <xf numFmtId="0" fontId="17" fillId="0" borderId="35" xfId="745" applyFont="1" applyBorder="1" applyAlignment="1">
      <alignment horizontal="center" vertical="top" wrapText="1"/>
    </xf>
    <xf numFmtId="0" fontId="17" fillId="0" borderId="36" xfId="745" applyFont="1" applyBorder="1" applyAlignment="1">
      <alignment horizontal="left" vertical="top" wrapText="1"/>
    </xf>
    <xf numFmtId="0" fontId="17" fillId="0" borderId="36" xfId="745" applyFont="1" applyBorder="1" applyAlignment="1">
      <alignment horizontal="left" vertical="center" wrapText="1" indent="2"/>
    </xf>
    <xf numFmtId="0" fontId="17" fillId="0" borderId="36" xfId="745" applyFont="1" applyBorder="1" applyAlignment="1">
      <alignment horizontal="left" vertical="top" wrapText="1" indent="1"/>
    </xf>
    <xf numFmtId="0" fontId="17" fillId="0" borderId="36" xfId="745" applyFont="1" applyBorder="1" applyAlignment="1">
      <alignment horizontal="left" vertical="top" wrapText="1" indent="2"/>
    </xf>
    <xf numFmtId="0" fontId="17" fillId="0" borderId="37" xfId="745" applyFont="1" applyBorder="1" applyAlignment="1">
      <alignment horizontal="right" vertical="top" wrapText="1" indent="11"/>
    </xf>
    <xf numFmtId="0" fontId="17" fillId="0" borderId="44" xfId="745" applyFont="1" applyBorder="1" applyAlignment="1">
      <alignment horizontal="right" vertical="top" wrapText="1" indent="11"/>
    </xf>
    <xf numFmtId="0" fontId="84" fillId="0" borderId="0" xfId="745" applyFont="1" applyAlignment="1">
      <alignment horizontal="left" vertical="top"/>
    </xf>
  </cellXfs>
  <cellStyles count="752">
    <cellStyle name="=C:\WINNT\SYSTEM32\COMMAND.COM" xfId="129" xr:uid="{989C0FC4-898C-4C71-ADBE-5F90C2B54594}"/>
    <cellStyle name="=C:\WINNT\SYSTEM32\COMMAND.COM 2" xfId="36" xr:uid="{E7A80F5F-A4A3-49C7-8BDA-DC814C6A8D6D}"/>
    <cellStyle name="=C:\WINNT\SYSTEM32\COMMAND.COM 2 2" xfId="130" xr:uid="{23C3E751-0119-4E9C-A9F7-8ABD0FEF5E2B}"/>
    <cellStyle name="=C:\WINNT\SYSTEM32\COMMAND.COM 3" xfId="131" xr:uid="{92D1F7B5-46DB-46A8-95A4-58B9CABA16DA}"/>
    <cellStyle name="=C:\WINNT\SYSTEM32\COMMAND.COM 4" xfId="132" xr:uid="{9E887B9D-9B73-4C0B-9F0D-F0E6FCA0BFDC}"/>
    <cellStyle name="=C:\WINNT\SYSTEM32\COMMAND.COM 5" xfId="133" xr:uid="{53A347A9-D4ED-4318-981B-61D1F25299F6}"/>
    <cellStyle name="=C:\WINNT\SYSTEM32\COMMAND.COM 6" xfId="134" xr:uid="{B33FC5B4-AB8D-4A25-ABDC-EB5B80538325}"/>
    <cellStyle name="=C:\WINNT\SYSTEM32\COMMAND.COM 7" xfId="135" xr:uid="{DECECF17-BF06-47C6-8F5E-0E6093AC5386}"/>
    <cellStyle name="=C:\WINNT\SYSTEM32\COMMAND.COM 8" xfId="136" xr:uid="{1966B0EE-4D46-43D1-B4AD-8342D457D8A5}"/>
    <cellStyle name="=C:\WINNT\SYSTEM32\COMMAND.COM_Annex-I" xfId="137" xr:uid="{F46BFB19-CE1D-497F-8F01-B6A0266512D3}"/>
    <cellStyle name="1 indent" xfId="98" xr:uid="{3E729046-FE05-4E89-A106-43BC59434449}"/>
    <cellStyle name="2 indents" xfId="99" xr:uid="{1B2DD972-EF82-4C27-932C-CD7198965440}"/>
    <cellStyle name="20% - Accent1 2" xfId="138" xr:uid="{641B7AA2-0664-400B-A2A6-3A9212E84F1B}"/>
    <cellStyle name="20% - Accent1 3" xfId="139" xr:uid="{5AD636EF-23C3-4E69-A693-97402DD211AB}"/>
    <cellStyle name="20% - Accent1 4" xfId="140" xr:uid="{99819177-3BD2-4EC2-B953-42EAE0CE6C8C}"/>
    <cellStyle name="20% - Accent1 5" xfId="141" xr:uid="{AB188369-AE99-4920-9464-38E8C7AAF427}"/>
    <cellStyle name="20% - Accent2 2" xfId="142" xr:uid="{53507B4C-292E-4750-A27E-0C9B039B29C4}"/>
    <cellStyle name="20% - Accent2 3" xfId="143" xr:uid="{20C72E31-A648-4B82-B0F0-A2C840E079A7}"/>
    <cellStyle name="20% - Accent2 4" xfId="144" xr:uid="{7430EBB7-3DA5-4883-9F89-8DD4CF123B46}"/>
    <cellStyle name="20% - Accent2 5" xfId="145" xr:uid="{83E3C943-26AE-4AD9-9524-BA1417FC8F40}"/>
    <cellStyle name="20% - Accent3 2" xfId="146" xr:uid="{4C8A6CB3-7523-4F33-AFDA-643F6AA73D36}"/>
    <cellStyle name="20% - Accent3 3" xfId="147" xr:uid="{9F19A40A-EE62-413C-BA09-1FBE0D082589}"/>
    <cellStyle name="20% - Accent3 4" xfId="148" xr:uid="{07761CAF-0F18-41BB-8655-51A1B8F6CE1A}"/>
    <cellStyle name="20% - Accent3 5" xfId="149" xr:uid="{ECEB319C-53EE-4476-A8ED-7D31AC9CF70E}"/>
    <cellStyle name="20% - Accent4 2" xfId="150" xr:uid="{6EF7B8DB-0018-4DFA-BD77-C90835517798}"/>
    <cellStyle name="20% - Accent4 3" xfId="151" xr:uid="{8A645657-BEF6-43AD-B49B-1F2DF00B5FA5}"/>
    <cellStyle name="20% - Accent4 4" xfId="152" xr:uid="{CFE15AB7-2F30-44E3-AFAF-68EA756EB215}"/>
    <cellStyle name="20% - Accent4 5" xfId="153" xr:uid="{4CD941BA-FC89-4293-B017-84469E5B3666}"/>
    <cellStyle name="20% - Accent4 6" xfId="154" xr:uid="{17DDB21C-852F-4190-AE68-2173FC268189}"/>
    <cellStyle name="20% - Accent5 2" xfId="155" xr:uid="{22A1BAF1-BDD0-45A1-BDE0-4204E181419E}"/>
    <cellStyle name="20% - Accent5 3" xfId="156" xr:uid="{459D03CE-FF6B-4DD0-AE45-4473CB5748D3}"/>
    <cellStyle name="20% - Accent5 4" xfId="157" xr:uid="{D47E3D13-1CDC-469A-B5FE-F9891056F4D1}"/>
    <cellStyle name="20% - Accent5 5" xfId="158" xr:uid="{C41BB288-3806-4E93-98B2-31AB547B1788}"/>
    <cellStyle name="20% - Accent6 2" xfId="159" xr:uid="{5987CC86-D142-459A-A401-91E43AB6A75F}"/>
    <cellStyle name="20% - Accent6 3" xfId="160" xr:uid="{CDF3514C-3421-401B-9588-49254F3503CE}"/>
    <cellStyle name="20% - Accent6 4" xfId="161" xr:uid="{96915BC7-70A5-4604-B07A-2FBABBE5C591}"/>
    <cellStyle name="20% - Accent6 5" xfId="162" xr:uid="{6EB2918B-C513-49EE-8FEE-35BEE4F68A9C}"/>
    <cellStyle name="3 indents" xfId="100" xr:uid="{1FCEF791-DEC6-4D29-8069-BB1CEEC15E43}"/>
    <cellStyle name="4 indents" xfId="101" xr:uid="{352C7039-9C68-4088-B1DC-15103EB45771}"/>
    <cellStyle name="40% - Accent1 2" xfId="163" xr:uid="{00F6E4D6-C687-4501-BEDE-5C2FADDF992F}"/>
    <cellStyle name="40% - Accent1 3" xfId="164" xr:uid="{A769FD3A-9251-48BB-98AB-68DC412EC59B}"/>
    <cellStyle name="40% - Accent1 4" xfId="165" xr:uid="{8B97C365-01FB-44AE-BB0D-1841830EEA33}"/>
    <cellStyle name="40% - Accent1 5" xfId="166" xr:uid="{33895DE7-D726-448B-A365-B6117427A269}"/>
    <cellStyle name="40% - Accent2 2" xfId="167" xr:uid="{C4F530EA-49AA-4F24-9805-0262342BFADE}"/>
    <cellStyle name="40% - Accent2 3" xfId="168" xr:uid="{18565054-605A-471E-8136-C3749A206AF8}"/>
    <cellStyle name="40% - Accent2 4" xfId="169" xr:uid="{57610BB0-084C-4BE0-8470-93688918D395}"/>
    <cellStyle name="40% - Accent2 5" xfId="170" xr:uid="{411EA9F7-3B03-4CCB-95B4-48997BABBF48}"/>
    <cellStyle name="40% - Accent3 2" xfId="171" xr:uid="{C5247C49-0E90-4CC2-9D53-2224A634FCEF}"/>
    <cellStyle name="40% - Accent3 3" xfId="172" xr:uid="{F5AB156D-2BF0-46F4-847B-BB5EA782ABC5}"/>
    <cellStyle name="40% - Accent3 4" xfId="173" xr:uid="{C0CCEEB2-A426-4593-8963-79CEA1D2AD21}"/>
    <cellStyle name="40% - Accent3 5" xfId="174" xr:uid="{DAC96589-24C0-41C2-A59F-53256BF5C33D}"/>
    <cellStyle name="40% - Accent4 2" xfId="175" xr:uid="{56A48C7B-8A5F-417F-B0D0-E133A98D7DD8}"/>
    <cellStyle name="40% - Accent4 3" xfId="176" xr:uid="{FA099357-CA73-44F0-B9D6-2DEA33945593}"/>
    <cellStyle name="40% - Accent4 4" xfId="177" xr:uid="{59456C87-E439-4C6C-9FEF-4D67CC364A64}"/>
    <cellStyle name="40% - Accent4 5" xfId="178" xr:uid="{C962BA0B-27B4-4E24-9544-A2940A195CE2}"/>
    <cellStyle name="40% - Accent5 2" xfId="179" xr:uid="{FF9D7120-75E5-4470-B29D-9BAD0F9E1C4C}"/>
    <cellStyle name="40% - Accent5 3" xfId="180" xr:uid="{42C7FE19-17C9-469D-B3A2-1584E872EA77}"/>
    <cellStyle name="40% - Accent5 4" xfId="181" xr:uid="{BE9BDAD8-89CD-4DB6-93A7-75CF80BE6BE1}"/>
    <cellStyle name="40% - Accent5 5" xfId="182" xr:uid="{75E64266-5DDD-4CB3-8D2C-E480001DA0E6}"/>
    <cellStyle name="40% - Accent6 2" xfId="183" xr:uid="{069D551F-6592-4949-A1D2-9E54AF5CB100}"/>
    <cellStyle name="40% - Accent6 3" xfId="184" xr:uid="{C2B5BDA0-AE53-4A4F-9021-93711F7EC57B}"/>
    <cellStyle name="40% - Accent6 4" xfId="185" xr:uid="{86059DEE-BB36-4498-8288-C92A7F4CD6C2}"/>
    <cellStyle name="40% - Accent6 5" xfId="186" xr:uid="{119FD19D-21C8-4467-A1E9-04CBF8D54B78}"/>
    <cellStyle name="5 indents" xfId="102" xr:uid="{2B7487E8-39A3-4772-B1AD-00D34A1485E0}"/>
    <cellStyle name="60% - Accent1 2" xfId="187" xr:uid="{FBE6426E-814C-46CE-B43B-BD39A09A86B4}"/>
    <cellStyle name="60% - Accent1 3" xfId="188" xr:uid="{DE74AF0D-8593-4660-AF42-A07962B8D7A6}"/>
    <cellStyle name="60% - Accent1 4" xfId="189" xr:uid="{D1D0E08C-BB8B-420A-93ED-B8806C2BF546}"/>
    <cellStyle name="60% - Accent1 5" xfId="190" xr:uid="{9983E2F9-B64F-4533-ADC8-9D737B4B1928}"/>
    <cellStyle name="60% - Accent2 2" xfId="191" xr:uid="{C68A5461-774D-4ECA-B174-6382BDD97809}"/>
    <cellStyle name="60% - Accent2 3" xfId="192" xr:uid="{E233D563-7BF0-4733-8C76-94A2EE9856B6}"/>
    <cellStyle name="60% - Accent2 4" xfId="193" xr:uid="{44AE731F-4E27-40F0-A815-ED397F2B2725}"/>
    <cellStyle name="60% - Accent2 5" xfId="194" xr:uid="{15CDEF1B-D609-421B-A5B6-225B42FF7BFB}"/>
    <cellStyle name="60% - Accent3 2" xfId="195" xr:uid="{5BB89ABD-174C-480D-9ECA-B479EE12D7A1}"/>
    <cellStyle name="60% - Accent3 3" xfId="196" xr:uid="{EAD59ABB-6D72-49D8-A392-A53373D19894}"/>
    <cellStyle name="60% - Accent3 4" xfId="197" xr:uid="{162CFAD1-B106-477B-B697-A76B8F2B4336}"/>
    <cellStyle name="60% - Accent3 5" xfId="198" xr:uid="{BA1961B8-AFF4-463B-90F3-435D4832BF51}"/>
    <cellStyle name="60% - Accent4 2" xfId="199" xr:uid="{954798A2-055B-4BDF-B168-7529DEC85CA4}"/>
    <cellStyle name="60% - Accent4 3" xfId="200" xr:uid="{B2A35E7D-D7FA-4758-8A92-A024EF6AABFA}"/>
    <cellStyle name="60% - Accent4 4" xfId="201" xr:uid="{025A8679-A118-43F7-8C9B-152821140344}"/>
    <cellStyle name="60% - Accent4 5" xfId="202" xr:uid="{84111FD8-2F60-494B-A3FC-2A1B34DB3ABB}"/>
    <cellStyle name="60% - Accent5 2" xfId="203" xr:uid="{7AAAAA94-86B4-4C72-BEDC-4F665D68AE85}"/>
    <cellStyle name="60% - Accent5 3" xfId="204" xr:uid="{A31C64D3-257E-4336-B431-B74C5EC8F8A2}"/>
    <cellStyle name="60% - Accent5 4" xfId="205" xr:uid="{4E97E24F-E95F-4250-9D6A-AD9638354272}"/>
    <cellStyle name="60% - Accent5 5" xfId="206" xr:uid="{4BDF5965-0C0F-4DA7-9438-8157A69A2D69}"/>
    <cellStyle name="60% - Accent6 2" xfId="207" xr:uid="{020B2DDE-2184-4DC6-8629-0D294115E706}"/>
    <cellStyle name="60% - Accent6 3" xfId="208" xr:uid="{4CBAC8C4-95F0-4A8E-A6BE-DE068CEC11C1}"/>
    <cellStyle name="60% - Accent6 4" xfId="209" xr:uid="{48ED468C-40ED-4BD6-A758-F988BDC0A02C}"/>
    <cellStyle name="60% - Accent6 5" xfId="210" xr:uid="{8A159AA4-79F7-494B-B939-C87973F543BF}"/>
    <cellStyle name="Accent1 - 20%" xfId="211" xr:uid="{358B912E-C672-45F8-B299-31E3A525A774}"/>
    <cellStyle name="Accent1 - 40%" xfId="212" xr:uid="{6FD4C32C-5D9B-4285-A038-271E1A412097}"/>
    <cellStyle name="Accent1 - 60%" xfId="213" xr:uid="{CFE7C4AF-B5C8-42C3-A38A-A7DE82946771}"/>
    <cellStyle name="Accent1 2" xfId="214" xr:uid="{B043F3FD-4066-4961-8BBA-7C21FF8AC73C}"/>
    <cellStyle name="Accent1 3" xfId="215" xr:uid="{B154ADCD-B0DD-4E6E-94A9-2E96265B00FE}"/>
    <cellStyle name="Accent1 4" xfId="216" xr:uid="{795FB1A0-BD5E-4985-8422-12005A17225A}"/>
    <cellStyle name="Accent1 5" xfId="217" xr:uid="{B7EDC8F8-37E8-4DAD-9A97-EE12310CA784}"/>
    <cellStyle name="Accent2 - 20%" xfId="218" xr:uid="{FEFC659D-B501-4A5E-96E9-E20E95D5ABC7}"/>
    <cellStyle name="Accent2 - 40%" xfId="219" xr:uid="{9E2C62AC-962C-4677-AAE8-B83380AE8439}"/>
    <cellStyle name="Accent2 - 60%" xfId="220" xr:uid="{B56B2FB3-DBBB-40E8-87DA-C147CAF106FE}"/>
    <cellStyle name="Accent2 2" xfId="221" xr:uid="{6FDCF599-681C-4995-9D93-B5AE7D23C1C3}"/>
    <cellStyle name="Accent2 3" xfId="222" xr:uid="{137ED29E-9B61-4423-B66F-E297426BCCA1}"/>
    <cellStyle name="Accent2 4" xfId="223" xr:uid="{07AE2D04-FE01-4417-AFA4-ACB6C97681B4}"/>
    <cellStyle name="Accent2 5" xfId="224" xr:uid="{5B467DE4-B2ED-4094-9F9F-9CB6FA1A252C}"/>
    <cellStyle name="Accent3 - 20%" xfId="225" xr:uid="{AF73936D-CDA4-4667-8EB5-E07FD6276B24}"/>
    <cellStyle name="Accent3 - 40%" xfId="226" xr:uid="{0CD6AC04-5514-4849-B4B3-BD0FC946F9DA}"/>
    <cellStyle name="Accent3 - 60%" xfId="227" xr:uid="{978FC410-C4A8-4432-997C-622186C561A8}"/>
    <cellStyle name="Accent3 2" xfId="228" xr:uid="{4D516EDC-AC3B-4920-9D92-4F71FCB8816D}"/>
    <cellStyle name="Accent3 3" xfId="229" xr:uid="{08D00BDE-9A10-4855-8ACC-C7C37716F047}"/>
    <cellStyle name="Accent3 4" xfId="230" xr:uid="{FD5737CC-EB0B-4513-AF2B-48B436735BD3}"/>
    <cellStyle name="Accent3 5" xfId="231" xr:uid="{F744632A-9753-44E0-8E7B-E1317C47FEAD}"/>
    <cellStyle name="Accent4 - 20%" xfId="232" xr:uid="{B963CA32-7951-47C3-971A-BEDF178398D1}"/>
    <cellStyle name="Accent4 - 40%" xfId="233" xr:uid="{6DD0AED3-ABDD-46D7-9716-8D2447C5E05B}"/>
    <cellStyle name="Accent4 - 60%" xfId="234" xr:uid="{73311354-9127-4F28-BE5B-23BEEB922E0D}"/>
    <cellStyle name="Accent4 2" xfId="235" xr:uid="{7992CF25-1F29-4F63-BC90-41D6779E1D29}"/>
    <cellStyle name="Accent4 3" xfId="236" xr:uid="{6C6681A3-3D72-4635-8659-13DC217C4C9F}"/>
    <cellStyle name="Accent4 4" xfId="237" xr:uid="{B92462A8-A093-443B-B6C0-2BB15418F6DF}"/>
    <cellStyle name="Accent4 5" xfId="238" xr:uid="{615A62A6-9864-43C5-A6B3-FB7AAC5D98B0}"/>
    <cellStyle name="Accent5 - 20%" xfId="239" xr:uid="{317C2B55-A759-4C81-90D7-3195352BD1AA}"/>
    <cellStyle name="Accent5 - 40%" xfId="240" xr:uid="{A93F8692-1D70-47BA-9CC5-083A70ED4351}"/>
    <cellStyle name="Accent5 - 60%" xfId="241" xr:uid="{371523EA-1711-404F-9CBF-5FFBA21FB534}"/>
    <cellStyle name="Accent5 2" xfId="242" xr:uid="{AE89BF02-F848-4365-B826-7544EED6946C}"/>
    <cellStyle name="Accent5 3" xfId="243" xr:uid="{CAEDE6AA-454D-43BD-B9DA-8CAE3364BAB6}"/>
    <cellStyle name="Accent5 4" xfId="244" xr:uid="{2C904D81-648E-4E3E-AB08-4F127E76ECD5}"/>
    <cellStyle name="Accent5 5" xfId="245" xr:uid="{BC910DAF-C44A-416E-A2B3-E06615B50649}"/>
    <cellStyle name="Accent6 - 20%" xfId="246" xr:uid="{1A693B96-1A4C-4BFD-8BC4-FF401C9152DC}"/>
    <cellStyle name="Accent6 - 40%" xfId="247" xr:uid="{659CA03F-F535-4294-A46B-0AD682629BB2}"/>
    <cellStyle name="Accent6 - 60%" xfId="248" xr:uid="{7FA7AD1B-A41F-40E1-B3C7-0FDCB2807396}"/>
    <cellStyle name="Accent6 2" xfId="249" xr:uid="{31B107DB-3A1F-4B2B-AEA1-E89C7EAA78FF}"/>
    <cellStyle name="Accent6 3" xfId="250" xr:uid="{F781B885-E60C-493C-9EAD-9B821C6BFFA4}"/>
    <cellStyle name="Accent6 4" xfId="251" xr:uid="{625287FA-9461-46E8-81C7-CC142DF6485C}"/>
    <cellStyle name="Accent6 5" xfId="252" xr:uid="{C1AA1B51-7237-472C-A2FC-FE9AE617A67A}"/>
    <cellStyle name="annee semestre" xfId="253" xr:uid="{F72DF11A-A136-421F-BA3A-FAE700A6A88C}"/>
    <cellStyle name="Bad 2" xfId="254" xr:uid="{91DEBF66-F62D-424E-B121-9E6AD95C9DC1}"/>
    <cellStyle name="Bad 3" xfId="255" xr:uid="{C6A35012-AC50-44F1-B04A-9AF9619A9ED1}"/>
    <cellStyle name="Bad 4" xfId="256" xr:uid="{05811F35-860F-49D8-B3AF-BDB4E68326F2}"/>
    <cellStyle name="Bad 5" xfId="257" xr:uid="{FDC214FA-4B6D-474E-91BD-1911412AC532}"/>
    <cellStyle name="Body" xfId="40" xr:uid="{7C6297B4-5C1D-48FB-B160-49BDC4CCFF0B}"/>
    <cellStyle name="Calc Currency (0)" xfId="41" xr:uid="{DD40C1CD-81E5-4D48-AA4A-2B6BDA62EE55}"/>
    <cellStyle name="Calculation 2" xfId="258" xr:uid="{309BDD25-C1E1-44DF-94AF-1B1DBCAF146A}"/>
    <cellStyle name="Calculation 3" xfId="259" xr:uid="{B5AEB764-06F6-4335-A7B1-640721105ACA}"/>
    <cellStyle name="Calculation 4" xfId="260" xr:uid="{8E3AC0D5-B3F9-42C4-880B-062591A07851}"/>
    <cellStyle name="Calculation 5" xfId="261" xr:uid="{181704E7-AB12-479C-A889-A0088A95C372}"/>
    <cellStyle name="Check Cell 2" xfId="262" xr:uid="{F55C84A4-C239-4861-B97D-62315E007D42}"/>
    <cellStyle name="Check Cell 3" xfId="263" xr:uid="{43505496-1489-4118-9A7E-1C3653F4CD88}"/>
    <cellStyle name="Check Cell 4" xfId="264" xr:uid="{8B6DBA38-30FC-4928-9D28-857A58EE64D4}"/>
    <cellStyle name="Check Cell 5" xfId="265" xr:uid="{8E47D996-ADD3-4CAB-9D35-BEDE94531595}"/>
    <cellStyle name="clsAltData" xfId="103" xr:uid="{8BC1BF7D-AA01-4E18-B675-2486887B2455}"/>
    <cellStyle name="clsAltMRVData" xfId="104" xr:uid="{35BA8EFF-4940-4118-B8A3-3DD4DD4C3664}"/>
    <cellStyle name="clsBlank" xfId="105" xr:uid="{4294591A-0EB6-4179-A5B9-7B59788D09E8}"/>
    <cellStyle name="clsColumnHeader" xfId="106" xr:uid="{4BFDAE58-C66F-46CC-A807-865997F4904C}"/>
    <cellStyle name="clsData" xfId="107" xr:uid="{2B99353B-1814-41F9-AFF8-9E30B4B84689}"/>
    <cellStyle name="clsDefault" xfId="108" xr:uid="{227D2862-C6DD-49EA-BE68-7A13B61D5319}"/>
    <cellStyle name="clsFooter" xfId="109" xr:uid="{71D1FBD8-4CCE-428D-AD9F-59E1D2F54069}"/>
    <cellStyle name="clsIndexTableTitle" xfId="110" xr:uid="{C0DDE3CF-DA3B-42C2-9AD2-1B2BD7AE0A9F}"/>
    <cellStyle name="clsMRVData" xfId="111" xr:uid="{5A67C08E-BDDD-4DF6-998A-CC20D0662FCC}"/>
    <cellStyle name="clsReportFooter" xfId="112" xr:uid="{97A5D9DC-FD1A-4C34-B236-5B22ECD52688}"/>
    <cellStyle name="clsReportHeader" xfId="113" xr:uid="{939A905B-2087-4935-AB48-44E45CE43953}"/>
    <cellStyle name="clsRowHeader" xfId="114" xr:uid="{6530FE45-B819-4351-B090-D3A52E7D5EEF}"/>
    <cellStyle name="clsScale" xfId="115" xr:uid="{BAF99417-AAA1-46DA-9040-E8D1DF5AFE19}"/>
    <cellStyle name="clsSection" xfId="116" xr:uid="{F1F33490-5B87-4182-897B-8B2440FA59A5}"/>
    <cellStyle name="Comma" xfId="1" builtinId="3"/>
    <cellStyle name="Comma [0] 2" xfId="742" xr:uid="{FFA70922-F3A3-4139-8A75-90C4B55CF0A2}"/>
    <cellStyle name="Comma 10" xfId="35" xr:uid="{11BA0175-CA45-4603-85CB-66392C0F753E}"/>
    <cellStyle name="Comma 10 2" xfId="266" xr:uid="{D7407358-6FFD-4764-BCED-4B630F34EB1F}"/>
    <cellStyle name="Comma 11" xfId="267" xr:uid="{A421891B-0246-4392-9364-1BA520851527}"/>
    <cellStyle name="Comma 11 2" xfId="268" xr:uid="{A0E2A6E5-C9AD-4690-841F-AC0FC80F5F7D}"/>
    <cellStyle name="Comma 12" xfId="269" xr:uid="{EDE669D0-423C-4A60-9523-6141A09353A3}"/>
    <cellStyle name="Comma 12 2" xfId="270" xr:uid="{D8D70A23-472F-441D-B7B7-D6C671001CE7}"/>
    <cellStyle name="Comma 13" xfId="271" xr:uid="{C011E44B-86E2-44D0-B3B8-174329526F53}"/>
    <cellStyle name="Comma 13 2" xfId="272" xr:uid="{4654FD8B-6044-43EB-ACA8-5171716F5F82}"/>
    <cellStyle name="Comma 14" xfId="273" xr:uid="{4986A2E8-1BA8-46FF-98C0-5F2956A2CC9C}"/>
    <cellStyle name="Comma 15" xfId="274" xr:uid="{887040EE-EAD6-454D-AE75-56EBD35D0E00}"/>
    <cellStyle name="Comma 16" xfId="275" xr:uid="{E303ECB0-228F-4C0B-AAC0-9EBAAEE77641}"/>
    <cellStyle name="Comma 17" xfId="276" xr:uid="{A7299450-EF19-405C-A0E0-8211CDCCC1D7}"/>
    <cellStyle name="Comma 18" xfId="277" xr:uid="{66B1CC35-09D3-4689-B23D-740A6DB944FB}"/>
    <cellStyle name="Comma 19" xfId="737" xr:uid="{4031DE9C-C32A-402F-9E45-B4BCCBA49D47}"/>
    <cellStyle name="Comma 2" xfId="4" xr:uid="{04755793-2912-4EB0-B301-B3A69ED01871}"/>
    <cellStyle name="Comma 2 10" xfId="278" xr:uid="{F148F0E3-71D9-4382-8122-7DCD5DB6A192}"/>
    <cellStyle name="Comma 2 11" xfId="279" xr:uid="{1607CD29-7309-458B-B57A-74FF3485B6BA}"/>
    <cellStyle name="Comma 2 12" xfId="280" xr:uid="{66D7C113-7A5A-48D5-91A6-CCC22E25B657}"/>
    <cellStyle name="Comma 2 13" xfId="281" xr:uid="{2DD6A9F1-D702-4A3B-8796-38D1B0FE467C}"/>
    <cellStyle name="Comma 2 14" xfId="282" xr:uid="{2157EDFB-58F4-402B-871A-9361D19AFE84}"/>
    <cellStyle name="Comma 2 15" xfId="283" xr:uid="{B7FBE4C4-651E-4FB6-87E1-1350634E7E7C}"/>
    <cellStyle name="Comma 2 16" xfId="284" xr:uid="{5089A925-625E-44CB-8832-1A3824D8A8DF}"/>
    <cellStyle name="Comma 2 17" xfId="285" xr:uid="{0D4F90FE-806F-4F2E-A6F6-541550AA9B7A}"/>
    <cellStyle name="Comma 2 18" xfId="286" xr:uid="{74B71FEC-15E5-405A-8BC8-E34CF0394C1C}"/>
    <cellStyle name="Comma 2 19" xfId="287" xr:uid="{B8CE3A25-4921-46E5-8FB0-DD86372B14B1}"/>
    <cellStyle name="Comma 2 2" xfId="22" xr:uid="{81DC59B2-FBB0-4FF4-A409-B8563E22D016}"/>
    <cellStyle name="Comma 2 2 2" xfId="76" xr:uid="{4401F8AB-6364-4F94-B2FE-2484220C64DC}"/>
    <cellStyle name="Comma 2 2 3" xfId="288" xr:uid="{25F5ACE9-BDA0-4589-AA0A-1C85B90BD413}"/>
    <cellStyle name="Comma 2 2 4" xfId="289" xr:uid="{E3EA716F-B25E-420B-8942-266692718EED}"/>
    <cellStyle name="Comma 2 20" xfId="290" xr:uid="{96D9AA1B-4347-4020-93A9-644C04EB853F}"/>
    <cellStyle name="Comma 2 21" xfId="291" xr:uid="{10903119-FC00-4D2C-BF1E-472FEF85F640}"/>
    <cellStyle name="Comma 2 22" xfId="292" xr:uid="{1EFEE63E-F08D-462C-97FC-D0DE94E91384}"/>
    <cellStyle name="Comma 2 23" xfId="293" xr:uid="{63DFB454-EA64-424E-B1F4-41EAF67DA4D0}"/>
    <cellStyle name="Comma 2 24" xfId="294" xr:uid="{07961B66-BD7D-47C7-A93C-8419F22041DC}"/>
    <cellStyle name="Comma 2 25" xfId="295" xr:uid="{28662C95-B9BB-4896-A1B3-0B89F2839501}"/>
    <cellStyle name="Comma 2 26" xfId="296" xr:uid="{2E2D67A9-EB2B-4EB4-9CB3-55D61BB65E40}"/>
    <cellStyle name="Comma 2 27" xfId="297" xr:uid="{7A763D0F-57E1-4B9E-BB0E-F863E5C56255}"/>
    <cellStyle name="Comma 2 28" xfId="298" xr:uid="{49ECF2DD-02D8-4CCB-BE23-0D1F97F2FFE7}"/>
    <cellStyle name="Comma 2 29" xfId="299" xr:uid="{7FD5F3DE-60B7-46BE-855B-5BBAC388EE3D}"/>
    <cellStyle name="Comma 2 3" xfId="42" xr:uid="{000A9F34-DA93-4F79-8EA3-429E59D39849}"/>
    <cellStyle name="Comma 2 3 2" xfId="77" xr:uid="{832AE5E3-B5B1-45F2-99FE-BDBE3C4A19BB}"/>
    <cellStyle name="Comma 2 30" xfId="300" xr:uid="{8C8B1BC6-6C7F-42BB-912A-5D9BFD29A9B0}"/>
    <cellStyle name="Comma 2 31" xfId="301" xr:uid="{31C0CE90-6039-450A-96EE-784F8DF72800}"/>
    <cellStyle name="Comma 2 32" xfId="302" xr:uid="{D33840A2-257A-495D-9FF7-4A551DDCA882}"/>
    <cellStyle name="Comma 2 33" xfId="303" xr:uid="{D5FFA6C7-4010-4A35-975E-83802EC9308B}"/>
    <cellStyle name="Comma 2 34" xfId="304" xr:uid="{09D7E985-41A2-4DE0-99AE-393DB2CDC360}"/>
    <cellStyle name="Comma 2 35" xfId="305" xr:uid="{B8B9C340-AB91-4870-9E9A-F26FF69370CF}"/>
    <cellStyle name="Comma 2 36" xfId="306" xr:uid="{538BF7A0-BB97-43A6-8973-98A458FD6372}"/>
    <cellStyle name="Comma 2 37" xfId="307" xr:uid="{12BCA7E1-563A-4669-8935-A174695DA545}"/>
    <cellStyle name="Comma 2 38" xfId="308" xr:uid="{8371BA62-E80F-4A4B-BFFD-BF0B88F4EE67}"/>
    <cellStyle name="Comma 2 39" xfId="309" xr:uid="{A729885C-BFAC-408D-9283-B580148F3725}"/>
    <cellStyle name="Comma 2 4" xfId="78" xr:uid="{FE8A52C6-43B3-4CE8-9D7D-8D3DB6B35031}"/>
    <cellStyle name="Comma 2 4 2" xfId="79" xr:uid="{65742E38-24FF-416D-9C65-A96701DE9474}"/>
    <cellStyle name="Comma 2 40" xfId="310" xr:uid="{43FF9D39-116E-4876-B16A-B553BBEB00B0}"/>
    <cellStyle name="Comma 2 41" xfId="311" xr:uid="{233A46C3-50A4-4B2A-BE2D-3C4E939B1A5F}"/>
    <cellStyle name="Comma 2 42" xfId="312" xr:uid="{5D352E0D-40AB-4832-9FBF-BFD0C3091FAA}"/>
    <cellStyle name="Comma 2 43" xfId="313" xr:uid="{3BBEE1AF-AF4F-4F2D-88F7-EFD7DAEAB62C}"/>
    <cellStyle name="Comma 2 44" xfId="314" xr:uid="{553D475F-A48D-411F-8F12-7FAB1A1CCAFF}"/>
    <cellStyle name="Comma 2 45" xfId="315" xr:uid="{3F5DAA33-9ACD-4FE3-8090-95C8C396B604}"/>
    <cellStyle name="Comma 2 46" xfId="316" xr:uid="{B49289C8-F03B-4B87-B6FD-59DE5A4D5620}"/>
    <cellStyle name="Comma 2 47" xfId="317" xr:uid="{910728DE-D6D6-4B50-8661-CA93CF3A9051}"/>
    <cellStyle name="Comma 2 48" xfId="318" xr:uid="{D8A6D091-40AA-4237-8D21-30C750328837}"/>
    <cellStyle name="Comma 2 49" xfId="319" xr:uid="{482F1414-915F-42F2-A0B6-2483C275996F}"/>
    <cellStyle name="Comma 2 5" xfId="80" xr:uid="{6F61AAD0-1AD0-4B06-B365-6D14DFD8A36B}"/>
    <cellStyle name="Comma 2 5 2" xfId="81" xr:uid="{C79917CF-5381-47A5-8008-53AD7F1815B8}"/>
    <cellStyle name="Comma 2 50" xfId="320" xr:uid="{E2F13B8E-D998-4A77-A598-853A787F00D0}"/>
    <cellStyle name="Comma 2 51" xfId="321" xr:uid="{011440DB-0FBB-4E63-84CB-4C8E0EAB433E}"/>
    <cellStyle name="Comma 2 52" xfId="322" xr:uid="{330E35A8-E4FE-47E6-9525-DA5F38E94310}"/>
    <cellStyle name="Comma 2 53" xfId="323" xr:uid="{7A9BDF36-DEC8-4425-9ACA-9402AE328CC9}"/>
    <cellStyle name="Comma 2 54" xfId="324" xr:uid="{ACCF9129-4117-47E5-8B24-75F46B598230}"/>
    <cellStyle name="Comma 2 55" xfId="325" xr:uid="{20145164-3F04-40EE-9710-16356264C4E2}"/>
    <cellStyle name="Comma 2 56" xfId="326" xr:uid="{02DE081E-6669-4FBF-A808-D24098B6C122}"/>
    <cellStyle name="Comma 2 57" xfId="327" xr:uid="{A7D2A446-E7C4-4F77-BB20-58E90EE3D62B}"/>
    <cellStyle name="Comma 2 58" xfId="328" xr:uid="{480B2214-7FDB-40F2-A972-3F9AC45DC013}"/>
    <cellStyle name="Comma 2 59" xfId="329" xr:uid="{60C12249-FEB9-47C3-A602-9F331DA8C185}"/>
    <cellStyle name="Comma 2 6" xfId="82" xr:uid="{8D8994F5-1C73-46EA-B2E4-A8F99682C7CC}"/>
    <cellStyle name="Comma 2 6 2" xfId="83" xr:uid="{B6CFBD95-384D-4420-A11B-03F68298B57C}"/>
    <cellStyle name="Comma 2 60" xfId="330" xr:uid="{1F8459FF-BEC2-46A9-9A6E-75F2A7F65B69}"/>
    <cellStyle name="Comma 2 61" xfId="331" xr:uid="{85028976-6B8B-4DB2-9561-AB9D6920A90E}"/>
    <cellStyle name="Comma 2 62" xfId="332" xr:uid="{BEC4D37E-DB5C-458A-9280-D3A35E975E65}"/>
    <cellStyle name="Comma 2 63" xfId="333" xr:uid="{8E9796F1-65DB-484D-B51E-00CC555DAFD0}"/>
    <cellStyle name="Comma 2 64" xfId="334" xr:uid="{A367BEAF-857A-40DB-98D4-E58A5BEC1E2B}"/>
    <cellStyle name="Comma 2 65" xfId="335" xr:uid="{06D4D952-B50D-4242-9100-F9EAD2E65B97}"/>
    <cellStyle name="Comma 2 66" xfId="336" xr:uid="{A1E248EE-459C-4065-BCB7-9A236C3FF83C}"/>
    <cellStyle name="Comma 2 67" xfId="337" xr:uid="{8E30DDE0-6EB6-426A-A579-88C7BB87EA41}"/>
    <cellStyle name="Comma 2 68" xfId="7" xr:uid="{9CFA04C5-95EE-4539-9E88-DFA50B7BC449}"/>
    <cellStyle name="Comma 2 7" xfId="84" xr:uid="{03A6CA31-152F-42CB-92F8-B82CD67F7366}"/>
    <cellStyle name="Comma 2 7 2" xfId="85" xr:uid="{F8E02237-41CE-4307-9DB5-F7E5410341A2}"/>
    <cellStyle name="Comma 2 8" xfId="86" xr:uid="{6B60B86B-4DC9-4C17-90AF-0A0E3748269A}"/>
    <cellStyle name="Comma 2 8 2" xfId="87" xr:uid="{1D25E600-20BB-4C8D-A4DE-1C68A6ED130F}"/>
    <cellStyle name="Comma 2 9" xfId="338" xr:uid="{ADB8EF5F-C25A-4BBE-A253-94539798A840}"/>
    <cellStyle name="Comma 2_Book3" xfId="339" xr:uid="{C800A56B-00EA-441A-A71D-90313CDB5816}"/>
    <cellStyle name="Comma 20" xfId="738" xr:uid="{DE2D1C91-CDFB-4B22-9C90-A4BEB766F4EC}"/>
    <cellStyle name="Comma 21" xfId="741" xr:uid="{19490EE6-21A3-4D87-A5B4-BB1F0413E965}"/>
    <cellStyle name="Comma 22" xfId="340" xr:uid="{994673E7-B09D-4410-AF28-28DEBAA7BB6D}"/>
    <cellStyle name="Comma 23" xfId="341" xr:uid="{AC0D5101-B6F5-45AB-9D3D-5D043D68CB52}"/>
    <cellStyle name="Comma 24" xfId="342" xr:uid="{D7B9F842-66EA-451E-92D3-C264EF4FB9C5}"/>
    <cellStyle name="Comma 3" xfId="8" xr:uid="{3138DA40-96EE-463E-85B4-51CBD7BB79CA}"/>
    <cellStyle name="Comma 3 2" xfId="343" xr:uid="{A697E484-B4CC-4DE0-98C7-D079860E832F}"/>
    <cellStyle name="Comma 3 3" xfId="344" xr:uid="{AB7352A3-0BC7-4BB2-9B76-89DA7C4ADB0F}"/>
    <cellStyle name="Comma 3 4" xfId="345" xr:uid="{38CD1BCD-1E34-4A2A-8D44-13FB447680E8}"/>
    <cellStyle name="Comma 3 5" xfId="346" xr:uid="{EB134742-D103-4521-BC67-64F42AACE438}"/>
    <cellStyle name="Comma 3 6" xfId="744" xr:uid="{2265B6E4-C0AB-4FE4-89D6-5EC164AA33BD}"/>
    <cellStyle name="Comma 4" xfId="14" xr:uid="{317EEE2A-E5DC-40AF-95E3-DC586EDBE870}"/>
    <cellStyle name="Comma 4 2" xfId="88" xr:uid="{58CE42C1-9B94-4B61-B7E0-16F15A64DDDA}"/>
    <cellStyle name="Comma 4 3" xfId="347" xr:uid="{51A8231C-C862-4C06-88BA-FA83A4BD2339}"/>
    <cellStyle name="Comma 5" xfId="27" xr:uid="{1AC47724-FB42-448E-AA31-5F34173CBAB5}"/>
    <cellStyle name="Comma 5 2" xfId="89" xr:uid="{EEED6FD7-F2F4-4715-BF52-8B8FCC53DEE3}"/>
    <cellStyle name="Comma 5 3" xfId="348" xr:uid="{173DC8F1-40F2-49F7-BF30-D30C3116DBAD}"/>
    <cellStyle name="Comma 5 4" xfId="349" xr:uid="{9CEDAF07-5391-47ED-8CDA-07254562672B}"/>
    <cellStyle name="Comma 5_Monetary graphs" xfId="350" xr:uid="{716218E1-9819-4D9F-AC1A-7EACEAE67ECB}"/>
    <cellStyle name="Comma 6" xfId="28" xr:uid="{7816FF7F-610C-4DFA-B4F0-4D8F8E611AE8}"/>
    <cellStyle name="Comma 6 2" xfId="90" xr:uid="{AAFA974B-AF9C-45F0-8E0D-221436F2197C}"/>
    <cellStyle name="Comma 7" xfId="29" xr:uid="{96A0D486-4149-4847-BB3B-A20E927D0E0B}"/>
    <cellStyle name="Comma 7 2" xfId="351" xr:uid="{F23817C0-ECF4-4B5A-AFC7-085D34DA4729}"/>
    <cellStyle name="Comma 8" xfId="91" xr:uid="{8439C332-6547-4FBE-80A6-4BE754774939}"/>
    <cellStyle name="Comma 8 2" xfId="92" xr:uid="{D051C740-822C-4E27-A136-88DD3F68B622}"/>
    <cellStyle name="Comma 9" xfId="93" xr:uid="{2AE21984-49E0-4463-9634-CFB92E1079B8}"/>
    <cellStyle name="Comma 9 2" xfId="94" xr:uid="{D0506ED3-59BF-49B4-BBE6-BFC0249D7C8F}"/>
    <cellStyle name="Component" xfId="43" xr:uid="{5559321A-B1AE-48E0-9400-16EE2E69ABBD}"/>
    <cellStyle name="Component 2" xfId="352" xr:uid="{B954F43C-28C7-4321-8667-771213E967C7}"/>
    <cellStyle name="Copied" xfId="44" xr:uid="{9FFD7A80-D485-4D3D-A2E1-C3F80C88D48B}"/>
    <cellStyle name="Copied 2" xfId="353" xr:uid="{BF692598-54AE-432F-A741-100797F60C1C}"/>
    <cellStyle name="Currency 2" xfId="354" xr:uid="{79E9CACB-2ED6-410F-B43B-448B14AC892E}"/>
    <cellStyle name="Date" xfId="117" xr:uid="{ED682E16-E6B3-4BB3-A2D9-DBFB5E90E957}"/>
    <cellStyle name="DateTime" xfId="355" xr:uid="{6EBF7980-5ED6-49C5-ADD5-E08390CF2C6C}"/>
    <cellStyle name="DateTime 2" xfId="356" xr:uid="{A50F58E7-C8BA-4EED-BC56-711569EEBC8A}"/>
    <cellStyle name="DateTime 3" xfId="357" xr:uid="{6E6766A5-53DF-48F9-AEDC-365B3346227B}"/>
    <cellStyle name="Description" xfId="45" xr:uid="{24B9913C-BAD5-4139-9CB7-44B189C4B78F}"/>
    <cellStyle name="Description 2" xfId="358" xr:uid="{AF25A31C-FE44-4FE3-A002-493BA14BAFEC}"/>
    <cellStyle name="données" xfId="359" xr:uid="{BA70C65E-9FD0-4E2D-81F4-41FE10BFF1E2}"/>
    <cellStyle name="donnéesbord" xfId="360" xr:uid="{16C8E5B4-FFDF-4233-8883-DE2A424240E4}"/>
    <cellStyle name="Emphasis 1" xfId="361" xr:uid="{C2B4E529-38F2-4AD8-B5B9-7CF7E638B32A}"/>
    <cellStyle name="Emphasis 2" xfId="362" xr:uid="{C79F5F63-80B2-4002-96E1-25740F6D12AA}"/>
    <cellStyle name="Emphasis 3" xfId="363" xr:uid="{AEADFC50-F70C-4EA1-B15F-126DB2FA80DC}"/>
    <cellStyle name="Entered" xfId="46" xr:uid="{93A8BEA1-1C83-4E81-AF47-3B7858F438DE}"/>
    <cellStyle name="Entered 2" xfId="364" xr:uid="{2090318A-3E84-4D11-8205-78801398E959}"/>
    <cellStyle name="Euro" xfId="9" xr:uid="{EAD4C5D6-7A9E-47C5-AADD-746FF4FA6565}"/>
    <cellStyle name="Excel.Chart" xfId="365" xr:uid="{D8D28808-8841-4D7A-98F1-EB7CC7054787}"/>
    <cellStyle name="Explanatory Text 2" xfId="366" xr:uid="{98A1637B-B82C-4F3B-9454-29E1452255A9}"/>
    <cellStyle name="Explanatory Text 3" xfId="367" xr:uid="{F63A1F62-7BF0-4EFA-B9FB-059D8C9A1867}"/>
    <cellStyle name="Explanatory Text 4" xfId="368" xr:uid="{EA2EB034-682C-4C0D-9910-9243C54B5D15}"/>
    <cellStyle name="Explanatory Text 5" xfId="369" xr:uid="{CB09C6C4-0FD2-4433-B1B5-B68C59F94EAF}"/>
    <cellStyle name="Feature" xfId="47" xr:uid="{49E9FC28-55FD-414E-8B9C-2F96D3C1DC5F}"/>
    <cellStyle name="Feature 2" xfId="370" xr:uid="{D0A2AF19-FF75-4853-9D16-236DD62551A8}"/>
    <cellStyle name="Fixed" xfId="118" xr:uid="{2744AF63-6859-4495-8C19-6194D4180CCD}"/>
    <cellStyle name="Followed Hyperlink 2" xfId="371" xr:uid="{7B60C545-F497-42C1-AD08-BE0AADD15B4E}"/>
    <cellStyle name="Good 2" xfId="372" xr:uid="{94214722-EA79-4948-91F5-31FA042D20CF}"/>
    <cellStyle name="Good 3" xfId="373" xr:uid="{921151EB-7DD4-4AAD-9A8E-091765CC5D5B}"/>
    <cellStyle name="Good 4" xfId="374" xr:uid="{FBDEB93E-06DE-44FA-B2DA-098924189B98}"/>
    <cellStyle name="Good 5" xfId="375" xr:uid="{52C8FFD3-3503-4CB8-998C-BCF124B05691}"/>
    <cellStyle name="Grey" xfId="48" xr:uid="{663A64F4-6DE8-4FB1-8584-0750D1F604E8}"/>
    <cellStyle name="H1" xfId="376" xr:uid="{AD1C9573-0692-4A66-8EC3-248024FB8E82}"/>
    <cellStyle name="H2" xfId="377" xr:uid="{589E4EFE-31C9-49AB-B59E-0A8321F9F972}"/>
    <cellStyle name="H3" xfId="378" xr:uid="{6D1D4EF7-4B6A-4FE6-869E-3BCA580AD9DA}"/>
    <cellStyle name="H4" xfId="379" xr:uid="{CC90005C-AC61-46BB-AED6-E8040E5109CC}"/>
    <cellStyle name="H5" xfId="380" xr:uid="{09AB5668-D941-4F63-BD1B-D1C0E7067D78}"/>
    <cellStyle name="Header1" xfId="49" xr:uid="{CB3E4C37-52C5-4CEA-A0E9-AB6A1CA45BB6}"/>
    <cellStyle name="Header2" xfId="50" xr:uid="{E06262A0-F00D-4525-BC8C-8E1BA9ADC3C4}"/>
    <cellStyle name="Heading 1 2" xfId="381" xr:uid="{32543A10-93AC-4A72-9667-5A81C7D22494}"/>
    <cellStyle name="Heading 1 3" xfId="382" xr:uid="{74B9622E-5F54-4229-8135-FBCFC834327C}"/>
    <cellStyle name="Heading 1 4" xfId="383" xr:uid="{47C6D33C-53FA-4285-B7C5-A006E2DD2F8B}"/>
    <cellStyle name="Heading 1 5" xfId="384" xr:uid="{B7DDABF8-96B2-4A9E-83F7-73E297066FDF}"/>
    <cellStyle name="Heading 2 2" xfId="385" xr:uid="{42D4F1F8-0369-48DA-B041-992EFB9A4AB8}"/>
    <cellStyle name="Heading 2 3" xfId="386" xr:uid="{00F38B36-1595-4BB4-B9CC-90B98735442E}"/>
    <cellStyle name="Heading 2 4" xfId="387" xr:uid="{02DAF724-FAA2-4E52-8B77-543BE1095432}"/>
    <cellStyle name="Heading 2 5" xfId="388" xr:uid="{D753659F-52C9-4802-A43A-35AF8CF9F9E3}"/>
    <cellStyle name="Heading 3 2" xfId="389" xr:uid="{45A2AA5D-5A32-4E09-A20C-70C7CA436C3A}"/>
    <cellStyle name="Heading 3 3" xfId="390" xr:uid="{2FC04E32-086F-44E8-9619-2BD8B2B4C171}"/>
    <cellStyle name="Heading 3 4" xfId="391" xr:uid="{0D58F71B-A431-4AEA-8985-05E5B4DC492A}"/>
    <cellStyle name="Heading 3 5" xfId="392" xr:uid="{3C134F2C-8678-46E9-A532-9A6067E38511}"/>
    <cellStyle name="Heading 4 2" xfId="393" xr:uid="{7CDABBB3-2C08-41C0-96DC-66FF1CAD3DD9}"/>
    <cellStyle name="Heading 4 3" xfId="394" xr:uid="{21DFC3DE-EA4A-45A6-9DF0-FE7C9DB5FF25}"/>
    <cellStyle name="Heading 4 4" xfId="395" xr:uid="{70787F7B-B2B9-422C-AE9D-EBF9CE0BA94A}"/>
    <cellStyle name="Heading 4 5" xfId="396" xr:uid="{9D072752-22D1-4E32-AE69-FA0CBE1B224C}"/>
    <cellStyle name="HEADING1" xfId="119" xr:uid="{DB6322FB-0989-4917-BE8A-B86E8A2CC9F3}"/>
    <cellStyle name="HEADING2" xfId="120" xr:uid="{9F5BBEFB-8DA5-41F6-B876-620C7A88BEA0}"/>
    <cellStyle name="Hyperlink 2" xfId="26" xr:uid="{BF743D93-B72D-4070-B7EB-56F1075A8CCA}"/>
    <cellStyle name="Hyperlink 2 2" xfId="128" xr:uid="{A3A397DF-8320-41E3-B16D-03BB1634FC7B}"/>
    <cellStyle name="Hyperlink 3" xfId="75" xr:uid="{D0D444AD-37AA-4A83-8F06-3CFA4C179A58}"/>
    <cellStyle name="Hyperlink 4" xfId="96" xr:uid="{6E6B8B1A-A4D0-424F-AC89-2B7C79CE9B5A}"/>
    <cellStyle name="imf-one decimal" xfId="121" xr:uid="{AFA2397C-BDB7-4FAF-AE74-D3DED2AD4441}"/>
    <cellStyle name="imf-zero decimal" xfId="122" xr:uid="{22AD07EA-CAC0-4726-A2B4-D3A3AB3584F0}"/>
    <cellStyle name="Input [yellow]" xfId="51" xr:uid="{85046A27-E267-4471-B4B7-092A7206C338}"/>
    <cellStyle name="Input 2" xfId="397" xr:uid="{7AD8DA0C-EACA-4EB3-974B-21077820DF7E}"/>
    <cellStyle name="Input 3" xfId="398" xr:uid="{81B64F41-7E1D-4216-927E-40D7ECCEB07C}"/>
    <cellStyle name="Input 4" xfId="399" xr:uid="{8AA19FE4-6E60-4A9F-9B01-4E7448F59CF6}"/>
    <cellStyle name="Input 5" xfId="400" xr:uid="{82E0F2AA-81D1-4A62-8192-85AA8C64BB20}"/>
    <cellStyle name="Lien hypertexte" xfId="401" xr:uid="{C98B9FC6-DB35-44F1-97E9-5B9548EB7638}"/>
    <cellStyle name="Lien hypertexte visité" xfId="402" xr:uid="{C6D087F9-9226-43CB-AA74-AD165D0A91FA}"/>
    <cellStyle name="Linked Cell 2" xfId="403" xr:uid="{6CF39312-97AD-490E-A475-9859D4FFFA7A}"/>
    <cellStyle name="Linked Cell 3" xfId="404" xr:uid="{D1DC0AE2-5357-4147-A017-CED0A4A32708}"/>
    <cellStyle name="Linked Cell 4" xfId="405" xr:uid="{709DDDA2-EA03-495B-B17D-7FCCA5AE7D1F}"/>
    <cellStyle name="Linked Cell 5" xfId="406" xr:uid="{E374B685-3E7A-47D1-A4C4-C6433ADE60A3}"/>
    <cellStyle name="Millares [0]_11.1.3. bis" xfId="407" xr:uid="{47DF9E77-9056-4876-A6B5-24D6A0391BC4}"/>
    <cellStyle name="Millares_11.1.3. bis" xfId="408" xr:uid="{F5888E16-9362-4472-8795-A3F522A4B693}"/>
    <cellStyle name="Moneda [0]_11.1.3. bis" xfId="409" xr:uid="{8E97CCF6-E565-4E69-8A2B-877440FAB6F8}"/>
    <cellStyle name="Moneda_11.1.3. bis" xfId="410" xr:uid="{718FC8C0-8B53-4FFB-9917-BC1A068ECB9E}"/>
    <cellStyle name="Neutral 2" xfId="411" xr:uid="{AD626D76-7B6D-475E-AB5C-0F135D09A13F}"/>
    <cellStyle name="Neutral 3" xfId="412" xr:uid="{A742F7E7-6797-493C-B6B8-9A2E9E497722}"/>
    <cellStyle name="Neutral 4" xfId="413" xr:uid="{F6B1200E-AD0F-4C6F-BCEC-EBA360A52AC4}"/>
    <cellStyle name="Neutral 5" xfId="414" xr:uid="{418315D1-D76A-4A23-BCB4-2362A184C89E}"/>
    <cellStyle name="Nor}al" xfId="415" xr:uid="{83967A75-FC32-4705-A703-9BEF98727683}"/>
    <cellStyle name="Normal" xfId="0" builtinId="0"/>
    <cellStyle name="Normal - Style1" xfId="34" xr:uid="{2C34BF05-4F10-4382-9218-6424C2DB6ABF}"/>
    <cellStyle name="Normal - Style1 2" xfId="52" xr:uid="{9C9D8376-D55B-4329-BEAE-A5B954E81058}"/>
    <cellStyle name="Normal - Style1 2 2" xfId="416" xr:uid="{754C4B1C-4EE2-48AE-BD8D-F430A4FB084F}"/>
    <cellStyle name="Normal - Style1 2 3" xfId="417" xr:uid="{08CEBFE1-F027-4EF2-A6CB-328D6AE8E08D}"/>
    <cellStyle name="Normal - Style1 3" xfId="418" xr:uid="{AD4BC634-C64B-4D0B-9A28-2881EFAC0B2D}"/>
    <cellStyle name="Normal - Style1 4" xfId="419" xr:uid="{BCBD59EF-E670-4C08-9001-C92757988DB8}"/>
    <cellStyle name="Normal - Style1 5" xfId="420" xr:uid="{3FF77B54-B3AD-4EBB-BF01-1CC09983A88E}"/>
    <cellStyle name="Normal - Style1 6" xfId="421" xr:uid="{62BB6858-0DD8-4085-8731-5CCD8AA66A51}"/>
    <cellStyle name="Normal - Style1 7" xfId="422" xr:uid="{DCC0C3C8-4739-41BF-B5B6-E10551B07A8E}"/>
    <cellStyle name="Normal - Style1 8" xfId="423" xr:uid="{22725414-5FF7-461E-B760-8A4C1F119871}"/>
    <cellStyle name="Normal - Style1_Book3" xfId="424" xr:uid="{224D0F6B-DE8C-4A92-AC69-39742F6EAC71}"/>
    <cellStyle name="Normal 10" xfId="97" xr:uid="{DD0799B7-BA56-4C36-8AC3-18FFBF3A999F}"/>
    <cellStyle name="Normal 10 2" xfId="425" xr:uid="{B0AB939F-6A1D-4CC4-BDFE-8DBBE33B2F71}"/>
    <cellStyle name="Normal 11" xfId="125" xr:uid="{83032974-6727-4D13-947B-F602C3BD21CC}"/>
    <cellStyle name="Normal 11 2" xfId="126" xr:uid="{A657CBC0-1B8E-4335-99CC-A4EA5866E6A6}"/>
    <cellStyle name="Normal 11 3" xfId="426" xr:uid="{14983ECB-C5C0-4E73-82AD-012D09B0AC1B}"/>
    <cellStyle name="Normal 12" xfId="427" xr:uid="{98EC7CA9-AAD1-4620-934E-2DFA67BAA9D3}"/>
    <cellStyle name="Normal 12 2" xfId="428" xr:uid="{1C72E5E5-33D5-466F-B526-BB0BDA453419}"/>
    <cellStyle name="Normal 12 3" xfId="429" xr:uid="{59155C88-ADB5-4BF5-B502-41714EFF68D2}"/>
    <cellStyle name="Normal 13" xfId="430" xr:uid="{E57B0966-A0A8-49B2-8069-A8C1480CD995}"/>
    <cellStyle name="Normal 13 2" xfId="431" xr:uid="{40C63A41-2513-45C8-8724-D20BF0531FFB}"/>
    <cellStyle name="Normal 13 3" xfId="432" xr:uid="{CD80B991-1709-4798-948C-64C03D892D7D}"/>
    <cellStyle name="Normal 14" xfId="433" xr:uid="{517C0E20-925B-4776-BC6E-FC3E075103FF}"/>
    <cellStyle name="Normal 14 2" xfId="434" xr:uid="{B3C4C7F8-E6A6-4BB7-9C9A-9F0F23DBDC73}"/>
    <cellStyle name="Normal 14 3" xfId="435" xr:uid="{8E3C4615-256C-4FCC-AC01-D384D68A76C4}"/>
    <cellStyle name="Normal 14 4" xfId="436" xr:uid="{51950A63-A3D5-4B5B-A557-E815EAB10385}"/>
    <cellStyle name="Normal 15" xfId="37" xr:uid="{1532D1D9-07EE-4E3E-B577-4AEE7AAFB3A7}"/>
    <cellStyle name="Normal 15 2" xfId="437" xr:uid="{FCEC467C-4B03-4C38-A043-960BE71DA3A2}"/>
    <cellStyle name="Normal 16" xfId="438" xr:uid="{64103352-A3DC-4510-BF6A-CD24D42D4AF9}"/>
    <cellStyle name="Normal 17" xfId="439" xr:uid="{D098E9D4-81CA-445E-A61F-912BDB73D7CE}"/>
    <cellStyle name="Normal 17 2" xfId="440" xr:uid="{9DBD83E3-AA6D-4FCE-899B-3161F6DD3254}"/>
    <cellStyle name="Normal 17 3" xfId="441" xr:uid="{ED625F19-1A90-4E70-9987-D2CA4A15EFC0}"/>
    <cellStyle name="Normal 17 4" xfId="442" xr:uid="{FD197A8D-056E-4BA3-B870-621D37B379B7}"/>
    <cellStyle name="Normal 17 4 2" xfId="443" xr:uid="{BFF32F8F-F32C-4B5A-BBC6-BD8F87F84469}"/>
    <cellStyle name="Normal 17 5" xfId="444" xr:uid="{3F28AC2D-B4D1-4703-8B32-53E104FF6A37}"/>
    <cellStyle name="Normal 18" xfId="445" xr:uid="{376B99CD-4CCB-42D1-B1F5-89B778CAA70F}"/>
    <cellStyle name="Normal 18 2" xfId="446" xr:uid="{F1F43766-7A41-4A48-A023-7449D4B912E0}"/>
    <cellStyle name="Normal 19" xfId="447" xr:uid="{8D438C72-0162-4391-A7E9-7C4535E6C80B}"/>
    <cellStyle name="Normal 19 2" xfId="448" xr:uid="{C148738D-B502-4682-907C-877CAD2082A7}"/>
    <cellStyle name="Normal 2" xfId="3" xr:uid="{9AC6950E-02D3-42CC-A519-73D4EE4DB2D7}"/>
    <cellStyle name="Normal 2 10" xfId="449" xr:uid="{B70FB3BE-9FFF-4CDE-B43A-D913CDD57A8C}"/>
    <cellStyle name="Normal 2 11" xfId="450" xr:uid="{1A974462-CAFB-4E2F-B4F4-DE06C986B63D}"/>
    <cellStyle name="Normal 2 12" xfId="451" xr:uid="{E9184B42-BEA1-4A87-BF7B-33FDDC818D26}"/>
    <cellStyle name="Normal 2 13" xfId="452" xr:uid="{A142EC88-28AF-4CEE-92C8-78ABA42C1609}"/>
    <cellStyle name="Normal 2 14" xfId="453" xr:uid="{F532C7D6-658E-4054-B9BC-B4AB441757AF}"/>
    <cellStyle name="Normal 2 15" xfId="454" xr:uid="{9C259A38-E536-4BFD-9C29-62490E0370A7}"/>
    <cellStyle name="Normal 2 16" xfId="455" xr:uid="{C8296C59-BABE-4524-B691-F2E247CBF1B1}"/>
    <cellStyle name="Normal 2 17" xfId="456" xr:uid="{559745A3-6A5A-424F-ADF6-C949E54E41C6}"/>
    <cellStyle name="Normal 2 18" xfId="457" xr:uid="{C9DB1D14-38A5-4446-BD18-1216AD26488C}"/>
    <cellStyle name="Normal 2 19" xfId="458" xr:uid="{03537399-1219-4E6C-8FD6-0758CFC47AB3}"/>
    <cellStyle name="Normal 2 2" xfId="15" xr:uid="{8E4810C7-2CD3-4ECE-9863-94E1382FB933}"/>
    <cellStyle name="Normal 2 2 2" xfId="25" xr:uid="{FDD79737-FC6B-4561-9E20-0202DDAF713D}"/>
    <cellStyle name="Normal 2 2 2 2" xfId="459" xr:uid="{38567E91-7D1E-49D9-A9A8-AA17D31204A9}"/>
    <cellStyle name="Normal 2 2 2 2 2" xfId="460" xr:uid="{645AE640-0E46-4817-B85E-9446FED26C38}"/>
    <cellStyle name="Normal 2 2 2 2 2 2" xfId="461" xr:uid="{37A6FEAB-EF3C-4B70-A961-55CEE0DC9718}"/>
    <cellStyle name="Normal 2 2 2 3" xfId="462" xr:uid="{1F76A0C4-29B3-430B-BB71-4837AEEA85E4}"/>
    <cellStyle name="Normal 2 2 3" xfId="463" xr:uid="{819020A6-6109-4D1C-B1F7-468C4AADDA43}"/>
    <cellStyle name="Normal 2 2 4" xfId="464" xr:uid="{C36DD8D5-FBDE-4B3A-9FDE-9AB85DE24BD5}"/>
    <cellStyle name="Normal 2 2 4 2" xfId="465" xr:uid="{B1A710C8-160D-4082-AB28-AC0A1DDC138D}"/>
    <cellStyle name="Normal 2 2 5" xfId="466" xr:uid="{095495E2-F05D-4B1E-A4EE-FE27375C7C05}"/>
    <cellStyle name="Normal 2 2 6" xfId="467" xr:uid="{13E0BA10-549C-43D4-9573-2FF2435C8C5F}"/>
    <cellStyle name="Normal 2 2_Book1" xfId="468" xr:uid="{7909960E-B118-4C85-8F67-C18BF76A30FE}"/>
    <cellStyle name="Normal 2 20" xfId="469" xr:uid="{725C15B8-98C9-4327-A3A0-A4CBE6FAD939}"/>
    <cellStyle name="Normal 2 21" xfId="470" xr:uid="{82CB75A2-F52D-4544-B566-C2B71FFCDB7D}"/>
    <cellStyle name="Normal 2 22" xfId="471" xr:uid="{8CC72D31-3D14-4DA9-8843-A9869CFBB789}"/>
    <cellStyle name="Normal 2 23" xfId="472" xr:uid="{944AF129-D987-4FBD-8FB4-04AE05F51D3D}"/>
    <cellStyle name="Normal 2 24" xfId="473" xr:uid="{B1AFB0FA-C7CD-43E3-A96F-0823BD0B2B09}"/>
    <cellStyle name="Normal 2 25" xfId="474" xr:uid="{EB658139-4714-421D-A906-70A0028DFBD0}"/>
    <cellStyle name="Normal 2 26" xfId="475" xr:uid="{C2AD68E1-C2F0-4A1F-A73A-9C82A7E35B1B}"/>
    <cellStyle name="Normal 2 27" xfId="476" xr:uid="{C9337CC0-66B2-49D6-B41A-FDBEFC07FF33}"/>
    <cellStyle name="Normal 2 28" xfId="477" xr:uid="{A717215F-A124-40CA-9004-D6D1BACFB68B}"/>
    <cellStyle name="Normal 2 29" xfId="478" xr:uid="{4FFED132-3655-4805-98B8-C741984B83E5}"/>
    <cellStyle name="Normal 2 3" xfId="73" xr:uid="{11790430-7C0C-432E-9E69-B0EB4176CB62}"/>
    <cellStyle name="Normal 2 3 2" xfId="479" xr:uid="{0DE0DC9A-0676-41E4-8E2A-EE6A6739A1D4}"/>
    <cellStyle name="Normal 2 3 2 2" xfId="480" xr:uid="{FABA044D-CC1B-4BEB-A272-7318102D8777}"/>
    <cellStyle name="Normal 2 3 3" xfId="481" xr:uid="{1C461F5A-BF4B-4E01-843C-24F9895BEC36}"/>
    <cellStyle name="Normal 2 3 4" xfId="482" xr:uid="{4F530B09-0D0A-45FA-AFF7-613B818A025A}"/>
    <cellStyle name="Normal 2 30" xfId="483" xr:uid="{92D24CAE-F824-435A-827E-BBF79C73C1C7}"/>
    <cellStyle name="Normal 2 31" xfId="484" xr:uid="{A64C5350-9AB2-4802-B12E-CB903EEE3ED4}"/>
    <cellStyle name="Normal 2 32" xfId="485" xr:uid="{849A0099-1AD6-422F-BF2C-629E222C1291}"/>
    <cellStyle name="Normal 2 33" xfId="486" xr:uid="{D95EBDE6-9E7A-4D12-8F4A-49B71423BF8C}"/>
    <cellStyle name="Normal 2 34" xfId="487" xr:uid="{F12C2052-D2A4-442E-89EF-3C069A1999A5}"/>
    <cellStyle name="Normal 2 35" xfId="488" xr:uid="{9F64ED3A-B4BF-45F9-955C-F0A831ABAFF9}"/>
    <cellStyle name="Normal 2 36" xfId="489" xr:uid="{53D9A26E-914C-433E-A1C9-ECDBD7200BC8}"/>
    <cellStyle name="Normal 2 37" xfId="490" xr:uid="{FA898C88-F324-4E66-A9C4-C26D4A9212E9}"/>
    <cellStyle name="Normal 2 38" xfId="491" xr:uid="{16A95E1F-625B-4811-B86F-2541AD4B87FA}"/>
    <cellStyle name="Normal 2 39" xfId="492" xr:uid="{2F19B732-2022-4A6B-800D-62CA11855CD3}"/>
    <cellStyle name="Normal 2 4" xfId="493" xr:uid="{C83CC284-42A8-48EC-BBAE-3A8D304B6524}"/>
    <cellStyle name="Normal 2 40" xfId="494" xr:uid="{E61FC261-5380-4B66-8F7B-92ECE74D9B02}"/>
    <cellStyle name="Normal 2 41" xfId="495" xr:uid="{79B1C67E-9968-4442-A861-2ED6BFF38D73}"/>
    <cellStyle name="Normal 2 42" xfId="496" xr:uid="{936F9E4F-7CC1-407E-A535-2548DA40C2ED}"/>
    <cellStyle name="Normal 2 43" xfId="497" xr:uid="{6A465270-1A9E-40DF-80BB-3E53A8028D71}"/>
    <cellStyle name="Normal 2 44" xfId="498" xr:uid="{8F264412-5389-41F7-B8C9-4D13D6E09769}"/>
    <cellStyle name="Normal 2 45" xfId="499" xr:uid="{9D0A06F1-E89A-4C90-8164-72DA7435D985}"/>
    <cellStyle name="Normal 2 46" xfId="500" xr:uid="{8E5B9904-7E12-43A6-90F5-FCC5A51CA790}"/>
    <cellStyle name="Normal 2 47" xfId="501" xr:uid="{6A13AA55-5CD5-464B-8808-8A97B57E9BD0}"/>
    <cellStyle name="Normal 2 48" xfId="502" xr:uid="{61C8ED47-4046-4ED1-A50A-6C4DA780F192}"/>
    <cellStyle name="Normal 2 49" xfId="503" xr:uid="{467B1F66-0B4E-400D-A10A-1694DBA60EDD}"/>
    <cellStyle name="Normal 2 49 2" xfId="504" xr:uid="{055147B9-630D-413E-A878-34846FCE6057}"/>
    <cellStyle name="Normal 2 5" xfId="505" xr:uid="{B371B644-EEB2-4EAB-85BC-4B0A3632DE6E}"/>
    <cellStyle name="Normal 2 5 2" xfId="506" xr:uid="{96AEB3F3-5FBB-4EC8-B57A-E9AF2BC24B7D}"/>
    <cellStyle name="Normal 2 50" xfId="507" xr:uid="{10729EC3-539A-4379-90B6-66DAF69BE515}"/>
    <cellStyle name="Normal 2 51" xfId="508" xr:uid="{A0EE7F21-A088-4AE5-A1E4-E98B8D262878}"/>
    <cellStyle name="Normal 2 52" xfId="509" xr:uid="{F7CC2992-9D84-415F-A466-61EEB1C0C2FB}"/>
    <cellStyle name="Normal 2 53" xfId="510" xr:uid="{871A8CEF-0B21-4059-8C19-1CD5043DF8BB}"/>
    <cellStyle name="Normal 2 54" xfId="511" xr:uid="{0664FB09-467E-4816-913B-8AADEBD82133}"/>
    <cellStyle name="Normal 2 55" xfId="512" xr:uid="{DBE2036F-3306-431D-9324-F576BF0EDD86}"/>
    <cellStyle name="Normal 2 56" xfId="513" xr:uid="{AAA81FE5-C8BA-4FCB-9F09-3647615654FF}"/>
    <cellStyle name="Normal 2 57" xfId="514" xr:uid="{D8515221-10BA-4DBE-A6D7-7BB6CC09C3F6}"/>
    <cellStyle name="Normal 2 58" xfId="515" xr:uid="{A495FF89-1A1F-40FD-924B-A69261D57271}"/>
    <cellStyle name="Normal 2 59" xfId="516" xr:uid="{B0243D44-AE6B-4F2C-BF13-6D78DA80B067}"/>
    <cellStyle name="Normal 2 6" xfId="517" xr:uid="{068E3FB6-788A-4BFB-8272-BE21A74E4747}"/>
    <cellStyle name="Normal 2 60" xfId="518" xr:uid="{7E0B6DDD-8E57-47A0-9C67-C87C4C90C7B4}"/>
    <cellStyle name="Normal 2 61" xfId="519" xr:uid="{E1B08397-35CA-4634-8579-A711BA7262CC}"/>
    <cellStyle name="Normal 2 62" xfId="520" xr:uid="{8E4A1378-9F06-4C6A-A3F9-20C303B16A6D}"/>
    <cellStyle name="Normal 2 63" xfId="521" xr:uid="{5A0D312E-1A90-44D9-870F-B0D132D2A46D}"/>
    <cellStyle name="Normal 2 64" xfId="522" xr:uid="{B72E5078-BB9F-4F8F-A414-D67CCED0BDE0}"/>
    <cellStyle name="Normal 2 65" xfId="523" xr:uid="{0EC7604B-03CF-4876-BE16-00F65BEEF766}"/>
    <cellStyle name="Normal 2 66" xfId="524" xr:uid="{13B2D33A-9A12-494A-A146-78787272F5E6}"/>
    <cellStyle name="Normal 2 67" xfId="525" xr:uid="{F1D97ABB-7542-4BF9-86B5-37FC0E88C150}"/>
    <cellStyle name="Normal 2 68" xfId="526" xr:uid="{1200D990-8F10-4ADD-88FE-471F236263D9}"/>
    <cellStyle name="Normal 2 69" xfId="527" xr:uid="{7BB7E826-08C4-40B9-9205-6E57F264B056}"/>
    <cellStyle name="Normal 2 7" xfId="528" xr:uid="{C09DE9FF-5CEB-4341-B79B-03BCF069F953}"/>
    <cellStyle name="Normal 2 70" xfId="743" xr:uid="{C95B740E-66C4-446D-88E6-631CA8189860}"/>
    <cellStyle name="Normal 2 71" xfId="6" xr:uid="{F779F494-B299-43F2-B139-6CAA0089AA87}"/>
    <cellStyle name="Normal 2 8" xfId="529" xr:uid="{1F417CE4-9700-49A9-BB65-0CAD1657B386}"/>
    <cellStyle name="Normal 2 9" xfId="530" xr:uid="{E2D969F1-32B2-46B3-8E60-AB934D9AEB57}"/>
    <cellStyle name="Normal 2 9 2" xfId="531" xr:uid="{9350BD27-FEED-41AA-B0BD-0EDE4550A476}"/>
    <cellStyle name="Normal 2_2.2 Industry" xfId="532" xr:uid="{4CE73972-6D58-46EE-A911-6DEE8F385C5C}"/>
    <cellStyle name="Normal 20" xfId="533" xr:uid="{070A70CB-D253-4973-BF31-FEDF39DD4B04}"/>
    <cellStyle name="Normal 21" xfId="534" xr:uid="{00EDBF91-05AE-4746-8A25-1C4A6E40FA47}"/>
    <cellStyle name="Normal 21 2" xfId="535" xr:uid="{4945B1F0-C3AD-4350-9040-F1544287ACE3}"/>
    <cellStyle name="Normal 22" xfId="536" xr:uid="{67A482E0-6BF3-48BD-9270-F7C00AE1E627}"/>
    <cellStyle name="Normal 22 2" xfId="537" xr:uid="{620766F7-E580-479D-A9D3-966285BDE8B6}"/>
    <cellStyle name="Normal 23" xfId="538" xr:uid="{D3D17B10-FABF-4A18-9159-5B623C2368EA}"/>
    <cellStyle name="Normal 24" xfId="539" xr:uid="{F87AD201-327B-4CB8-90A9-8D57F50588DC}"/>
    <cellStyle name="Normal 25" xfId="540" xr:uid="{CF95BE14-8BFB-4C80-8482-3F70857EFDD6}"/>
    <cellStyle name="Normal 25 2" xfId="541" xr:uid="{C0212555-4845-4655-9150-5495694175F2}"/>
    <cellStyle name="Normal 26" xfId="542" xr:uid="{AF0376ED-5982-43F9-901B-7AB7CC15B2BC}"/>
    <cellStyle name="Normal 27" xfId="543" xr:uid="{D99D12B7-9123-43AC-8900-F2D4AA3FC44D}"/>
    <cellStyle name="Normal 28" xfId="544" xr:uid="{64F7FF29-AB20-4739-86ED-8B19E75C1116}"/>
    <cellStyle name="Normal 29" xfId="545" xr:uid="{E616FA90-343E-4CAD-9950-E4717EFAC99E}"/>
    <cellStyle name="Normal 3" xfId="10" xr:uid="{E0E1E28D-C29F-4F0A-983B-629244C3C8AD}"/>
    <cellStyle name="Normal 3 10" xfId="546" xr:uid="{B1CF9EEE-35B0-4B99-B5D6-9AF22EBEAEB6}"/>
    <cellStyle name="Normal 3 11" xfId="547" xr:uid="{0203482B-330E-45E5-B85D-B57DEDA4FAE8}"/>
    <cellStyle name="Normal 3 12" xfId="548" xr:uid="{9FC0F893-6BF3-4A0D-A990-7FC8E79CC9B3}"/>
    <cellStyle name="Normal 3 13" xfId="549" xr:uid="{5C9EABC1-1272-472B-A1EC-7CE215832A6C}"/>
    <cellStyle name="Normal 3 14" xfId="550" xr:uid="{B3830E2F-06BD-4AC7-8F6E-AD48828706D9}"/>
    <cellStyle name="Normal 3 15" xfId="551" xr:uid="{B8238741-B010-48B8-B869-03965CE93B6D}"/>
    <cellStyle name="Normal 3 16" xfId="552" xr:uid="{A5103D56-5843-4417-AE78-44D5955BD847}"/>
    <cellStyle name="Normal 3 17" xfId="553" xr:uid="{2A8B4766-F8E9-4DAF-B33C-5066924F409D}"/>
    <cellStyle name="Normal 3 18" xfId="554" xr:uid="{8282DFC8-90DF-4E3F-BD15-E726A237777C}"/>
    <cellStyle name="Normal 3 19" xfId="555" xr:uid="{41013F74-EB64-4DBE-ACFD-51399BA10EBB}"/>
    <cellStyle name="Normal 3 2" xfId="23" xr:uid="{5EFDFF55-9E16-4123-9793-430EE7B3F391}"/>
    <cellStyle name="Normal 3 2 2" xfId="556" xr:uid="{161B88A6-E3ED-49B5-A3C8-C37FA470ED07}"/>
    <cellStyle name="Normal 3 20" xfId="557" xr:uid="{92EC56DA-D9D5-4C5F-94E4-202EBBAFD1F4}"/>
    <cellStyle name="Normal 3 21" xfId="558" xr:uid="{8104FC2A-BEA7-4783-B85E-F334A9DA1B2E}"/>
    <cellStyle name="Normal 3 22" xfId="559" xr:uid="{A42D27EA-3F76-4669-B611-8015EF39CF0B}"/>
    <cellStyle name="Normal 3 3" xfId="30" xr:uid="{23BDCF62-6688-4DD6-B4FA-7BBE67CF1A4F}"/>
    <cellStyle name="Normal 3 4" xfId="127" xr:uid="{35885452-EE32-44CB-8E97-0358733DA7D5}"/>
    <cellStyle name="Normal 3 5" xfId="560" xr:uid="{38422695-9DCC-4422-B19F-5B7236E02CF3}"/>
    <cellStyle name="Normal 3 6" xfId="561" xr:uid="{449C895B-7DCA-4169-93E8-45707ECA24C6}"/>
    <cellStyle name="Normal 3 7" xfId="562" xr:uid="{59CE72B3-995B-4B50-8E33-E022F88BC605}"/>
    <cellStyle name="Normal 3 8" xfId="563" xr:uid="{6058B702-A76E-40BF-B149-2E09DED50AD9}"/>
    <cellStyle name="Normal 3 9" xfId="564" xr:uid="{C0152AF9-6682-489F-930A-12BF4B785148}"/>
    <cellStyle name="Normal 3_Chapter-3 Prices" xfId="565" xr:uid="{1E92AC7C-993D-4790-BB49-6F0E553D4038}"/>
    <cellStyle name="Normal 30" xfId="566" xr:uid="{7FF75E36-A9B4-4E34-8B47-5A20C033D196}"/>
    <cellStyle name="Normal 31" xfId="567" xr:uid="{4E662703-4A06-4CD1-AE3D-A8BBB13AF7DE}"/>
    <cellStyle name="Normal 32" xfId="568" xr:uid="{E2459146-27BD-4ADA-B114-3D6E2FEBCED0}"/>
    <cellStyle name="Normal 33" xfId="569" xr:uid="{C6F09FDC-5A75-4129-A4E2-10AC54710AC3}"/>
    <cellStyle name="Normal 34" xfId="736" xr:uid="{D3F3962B-C250-4C39-A761-2F867BF1DF88}"/>
    <cellStyle name="Normal 35" xfId="739" xr:uid="{B88E904D-6254-48CE-A339-9EA3CC0B5AC6}"/>
    <cellStyle name="Normal 36" xfId="740" xr:uid="{37825E15-9FB0-4D13-8F4F-459364F192EA}"/>
    <cellStyle name="Normal 37" xfId="745" xr:uid="{B353FE81-C0C6-43F7-9D2F-07646BF693BD}"/>
    <cellStyle name="Normal 38" xfId="746" xr:uid="{78990C98-589B-4B5A-92EC-D0225E87B7BD}"/>
    <cellStyle name="Normal 39" xfId="747" xr:uid="{3962E40F-4DC5-4928-A697-D54188182169}"/>
    <cellStyle name="Normal 4" xfId="11" xr:uid="{4F1EB2F0-3F4A-408D-A398-852D878CAC01}"/>
    <cellStyle name="Normal 4 2" xfId="53" xr:uid="{8D11F031-19B7-4AFE-B98D-04ECB0E9A22F}"/>
    <cellStyle name="Normal 4 2 2" xfId="570" xr:uid="{A2D8D6CE-5761-4811-B6E4-DD21C0403433}"/>
    <cellStyle name="Normal 4 3" xfId="54" xr:uid="{F0A30F2E-5D2D-45CE-8431-55EFCAB67645}"/>
    <cellStyle name="Normal 4 3 2" xfId="571" xr:uid="{92841C5E-32A4-4F20-9734-56263E44E447}"/>
    <cellStyle name="Normal 4 4" xfId="55" xr:uid="{FD7F2B2B-AA0A-4A4F-896E-9E67F1414AB1}"/>
    <cellStyle name="Normal 4 4 2" xfId="56" xr:uid="{7629CDCC-62D1-486D-B6E2-9506B46D0BFC}"/>
    <cellStyle name="Normal 4 4 3" xfId="57" xr:uid="{C50DEC73-4BE1-449E-86A2-1CE218A4A4BA}"/>
    <cellStyle name="Normal 4 4 4" xfId="58" xr:uid="{B4DB4A0B-6CC7-4DBA-88C4-F6D9894220AE}"/>
    <cellStyle name="Normal 4 4 5" xfId="21" xr:uid="{79A28205-BCC4-45B1-A935-37837FA8553F}"/>
    <cellStyle name="Normal 4 5" xfId="59" xr:uid="{C5A14C26-3A5D-4AF2-94A9-2D9A0E5063E0}"/>
    <cellStyle name="Normal 4 5 2" xfId="572" xr:uid="{D8F7BA1D-F140-47B5-BC71-D896E5763AE8}"/>
    <cellStyle name="Normal 4 6" xfId="20" xr:uid="{5525AE9D-6B4C-4216-B617-0E38098391DC}"/>
    <cellStyle name="Normal 4 6 2" xfId="573" xr:uid="{228FE384-DBA5-412F-83AB-16D0AC982EE5}"/>
    <cellStyle name="Normal 4 7" xfId="72" xr:uid="{5CA8FC4A-CB21-4BF8-9D93-D8A75954EFED}"/>
    <cellStyle name="Normal 4_Book1" xfId="574" xr:uid="{87866205-6489-4966-A4E5-1475B8FDADB8}"/>
    <cellStyle name="Normal 40" xfId="748" xr:uid="{E5BDFFA2-3034-40C8-A35C-F39D407154E3}"/>
    <cellStyle name="Normal 41" xfId="749" xr:uid="{3AC8EDA4-FD3C-4CCE-B9D4-DD32B8AADB3E}"/>
    <cellStyle name="Normal 42" xfId="750" xr:uid="{B1D8D914-6B09-4526-A268-7E99B735A4C7}"/>
    <cellStyle name="Normal 43" xfId="751" xr:uid="{CABC355C-38EB-43AA-908A-528DE10BC127}"/>
    <cellStyle name="Normal 5" xfId="13" xr:uid="{EB333ED5-9CD7-4BDB-866B-715DBA2E662D}"/>
    <cellStyle name="Normal 5 2" xfId="38" xr:uid="{D1822B7E-7B90-4F76-A25A-30A883B4DDDA}"/>
    <cellStyle name="Normal 5 2 2" xfId="575" xr:uid="{F0AB383F-BB45-4DE6-A688-66C3D383F613}"/>
    <cellStyle name="Normal 5 3" xfId="60" xr:uid="{D2ED33F6-BA0A-4C61-93B6-B985A79D1B6B}"/>
    <cellStyle name="Normal 5 4" xfId="61" xr:uid="{62962CD8-0F4B-4E5F-9DBD-25A11A848D09}"/>
    <cellStyle name="Normal 5 4 2" xfId="576" xr:uid="{0CBBB812-898C-4087-A095-329376FA9B46}"/>
    <cellStyle name="Normal 5 5" xfId="62" xr:uid="{E16C486F-A7C4-4DCF-BBD5-696E17BC3A9E}"/>
    <cellStyle name="Normal 5 6" xfId="63" xr:uid="{591EE5F9-872B-494D-8891-99ED573365E7}"/>
    <cellStyle name="Normal 5 7" xfId="64" xr:uid="{8353B84F-4AF1-4C65-86A8-2ED5380577F5}"/>
    <cellStyle name="Normal 5 8" xfId="39" xr:uid="{26946182-3F09-45D6-B679-026411A7BAF2}"/>
    <cellStyle name="Normal 5_Book1" xfId="577" xr:uid="{1EFD7854-67D4-4908-92C7-F4AA9ED1A972}"/>
    <cellStyle name="Normal 6" xfId="31" xr:uid="{B858D5EF-A6EF-4D87-8A15-E3CF9514ABB5}"/>
    <cellStyle name="Normal 6 2" xfId="32" xr:uid="{E5987C2E-1005-4A98-AA20-7F906025AE56}"/>
    <cellStyle name="Normal 6 2 2" xfId="65" xr:uid="{33103AA2-06F3-482E-BADD-F8F4C3488B54}"/>
    <cellStyle name="Normal 6 2 3" xfId="66" xr:uid="{140C94D5-1923-4CAD-93B8-E976CBE85B8D}"/>
    <cellStyle name="Normal 6 3" xfId="578" xr:uid="{92A43315-CF2D-4B5B-B462-46CE175EAED6}"/>
    <cellStyle name="Normal 6 4" xfId="579" xr:uid="{387A0CED-D43D-41B2-B26F-47AC4365F165}"/>
    <cellStyle name="Normal 6 5" xfId="580" xr:uid="{8E2B541E-E817-44F7-8387-80C650E33412}"/>
    <cellStyle name="Normal 6 6" xfId="581" xr:uid="{59E5585E-7FBC-4815-B766-12178CCC7DAE}"/>
    <cellStyle name="Normal 6_Book1" xfId="582" xr:uid="{6962B722-1946-4A39-9669-E88747ABC508}"/>
    <cellStyle name="Normal 7" xfId="33" xr:uid="{E4B5A0E7-8E25-42C4-B91B-F78B110672DF}"/>
    <cellStyle name="Normal 7 2" xfId="583" xr:uid="{34EF327C-F189-45B7-9BCB-3ADAB7B3D420}"/>
    <cellStyle name="Normal 7 2 2" xfId="584" xr:uid="{780FC395-6779-4B57-9738-8E844DAFFA22}"/>
    <cellStyle name="Normal 7 3" xfId="585" xr:uid="{AED82C29-278E-49CD-A712-9B75C805533E}"/>
    <cellStyle name="Normal 8" xfId="12" xr:uid="{85AF1649-5CCB-464E-BC15-9600CD74EB71}"/>
    <cellStyle name="Normal 8 2" xfId="74" xr:uid="{3C37ED55-8542-4DB7-8632-FB7B2E17F33F}"/>
    <cellStyle name="Normal 8 2 2" xfId="586" xr:uid="{22BF662F-F925-493C-98D4-ADEE33E703C7}"/>
    <cellStyle name="Normal 8 3" xfId="587" xr:uid="{B7340A21-52F1-4D8D-90BB-CBB270CC6225}"/>
    <cellStyle name="Normal 8 4" xfId="588" xr:uid="{40986A4A-042E-4A79-BE9A-D954CDC12D29}"/>
    <cellStyle name="Normal 8 5" xfId="589" xr:uid="{C618C842-5267-41FD-A038-064C42C242FF}"/>
    <cellStyle name="Normal 8 6" xfId="590" xr:uid="{76E2908A-77E5-4A4B-A0C7-D55DF6CA84A3}"/>
    <cellStyle name="Normal 8 7" xfId="591" xr:uid="{56146478-8F13-4AB6-8D6E-8CCA728435E9}"/>
    <cellStyle name="Normal 8 8" xfId="592" xr:uid="{54F12AF4-F78F-4065-B05A-994E61C69C98}"/>
    <cellStyle name="Normal 8 9" xfId="593" xr:uid="{9F7FCBCE-BD35-4160-BD1A-D389F5D6B38B}"/>
    <cellStyle name="Normal 8_Chapter-3 Prices" xfId="594" xr:uid="{4DA28F2B-131B-4765-A127-A29713D6122F}"/>
    <cellStyle name="Normal 9" xfId="24" xr:uid="{FD1BFEC8-EE94-4DE2-89D8-FFFE4AC4807C}"/>
    <cellStyle name="Normal 9 2" xfId="95" xr:uid="{760BDDC4-EA7C-43D9-B2BE-D6D201C75BD6}"/>
    <cellStyle name="Normal 9 3" xfId="595" xr:uid="{C0769B96-D0FB-4BE7-81F6-639C7ED9D88F}"/>
    <cellStyle name="Normal 9 4" xfId="596" xr:uid="{3D858B8B-A5D6-42C3-9F8B-E668B4342830}"/>
    <cellStyle name="Normal 9 5" xfId="597" xr:uid="{5CC48289-BE80-4783-AD71-4C24CFA1A9A3}"/>
    <cellStyle name="Normal 9 6" xfId="598" xr:uid="{A1DA4554-F7F6-4CA5-9FC1-6B4832BDBB60}"/>
    <cellStyle name="Normal 9 7" xfId="599" xr:uid="{1E5826D4-9A34-43D6-A893-69BABFAB621D}"/>
    <cellStyle name="Normal 9_Monetary graphs" xfId="600" xr:uid="{E5172204-2FA5-48BF-9A2F-75760B113C4B}"/>
    <cellStyle name="Note 10" xfId="601" xr:uid="{B68352A3-26A9-45AE-9A2D-164C54CEA072}"/>
    <cellStyle name="Note 10 2" xfId="602" xr:uid="{97B63D5D-07CB-4C11-BC1F-A8788303CBE0}"/>
    <cellStyle name="Note 10 3" xfId="603" xr:uid="{BC2E016A-64E4-4492-89ED-2ED7902CF282}"/>
    <cellStyle name="Note 11" xfId="604" xr:uid="{9349CE9C-8B1E-4721-A4F7-59231E4503FF}"/>
    <cellStyle name="Note 12" xfId="605" xr:uid="{51FDBCC5-3FF7-499C-BABD-E838CCB9AAD1}"/>
    <cellStyle name="Note 13" xfId="606" xr:uid="{9246DAFD-63C0-4FDC-AF3B-B87892F59956}"/>
    <cellStyle name="Note 14" xfId="607" xr:uid="{FA235DCA-DC05-4EA1-AEE2-0BC63FBF840A}"/>
    <cellStyle name="Note 15" xfId="608" xr:uid="{D3329CA7-17D1-4CCF-A38E-28DAEA49A6CF}"/>
    <cellStyle name="Note 16" xfId="609" xr:uid="{CBC24ED9-D87D-4B75-BE4C-A70B61464BD0}"/>
    <cellStyle name="Note 17" xfId="610" xr:uid="{D237E560-C691-4091-95C7-184EB1B61BB3}"/>
    <cellStyle name="Note 18" xfId="611" xr:uid="{128AFD23-F0FB-4DD1-B969-B8D25FFDAA36}"/>
    <cellStyle name="Note 19" xfId="612" xr:uid="{4135CB6C-CBD5-4665-90F1-523FBE2AFAFE}"/>
    <cellStyle name="Note 2" xfId="16" xr:uid="{CA0B4804-22E7-4638-97BA-0E21DD5D4690}"/>
    <cellStyle name="Note 2 2" xfId="613" xr:uid="{844A8F39-B7B8-4FEA-9789-EAC5C70A06E1}"/>
    <cellStyle name="Note 2 3" xfId="614" xr:uid="{55CE602F-1787-427A-B5F3-401B04F9AC7A}"/>
    <cellStyle name="Note 20" xfId="615" xr:uid="{7AAA1BB0-28F8-41A3-8FFE-84A0E7E5BFC8}"/>
    <cellStyle name="Note 21" xfId="616" xr:uid="{94BE274C-3E8B-41FD-98B8-50216AF36E4E}"/>
    <cellStyle name="Note 22" xfId="617" xr:uid="{F4610A05-F3DD-4388-B222-7E1E94FAF688}"/>
    <cellStyle name="Note 23" xfId="618" xr:uid="{BC472EF2-714C-4DFC-A524-5DD0EFC3C448}"/>
    <cellStyle name="Note 24" xfId="619" xr:uid="{40D1BEB3-858F-4B5B-9B0F-402C7ED87D88}"/>
    <cellStyle name="Note 3" xfId="620" xr:uid="{B7B92804-E5A0-42DE-9CE5-26A8100826C6}"/>
    <cellStyle name="Note 3 2" xfId="621" xr:uid="{0F0B0978-ADBB-435A-901F-38FCF22BA00F}"/>
    <cellStyle name="Note 3 3" xfId="622" xr:uid="{18682792-9E21-4259-A9F6-CF4DB510CF55}"/>
    <cellStyle name="Note 4" xfId="623" xr:uid="{48B19902-E0CB-4206-91D9-B591567FFFBC}"/>
    <cellStyle name="Note 4 2" xfId="624" xr:uid="{8521A0C8-AE3F-4F59-860E-31D9278879EF}"/>
    <cellStyle name="Note 4 3" xfId="625" xr:uid="{8DD44D83-F4A4-4DC7-8F25-8628D8FFD82F}"/>
    <cellStyle name="Note 5" xfId="626" xr:uid="{F0299BA5-03AB-46FB-AF0F-E1D79E48984A}"/>
    <cellStyle name="Note 5 2" xfId="627" xr:uid="{E5C72237-1173-43D7-98E0-998CE6B5F15F}"/>
    <cellStyle name="Note 5 3" xfId="628" xr:uid="{8C37AFC4-69A3-4654-B1BF-1892A028E49D}"/>
    <cellStyle name="Note 6" xfId="629" xr:uid="{A6FF681F-DFAC-4077-A467-0F62FC2927EA}"/>
    <cellStyle name="Note 6 2" xfId="630" xr:uid="{026A5A77-9A76-4CBE-A885-7B9C0FFDD67F}"/>
    <cellStyle name="Note 6 3" xfId="631" xr:uid="{B6DCFFCC-5D22-46E7-B745-F71207D9A477}"/>
    <cellStyle name="Note 7" xfId="632" xr:uid="{7161D5A8-8463-4C4C-9E05-ED830CBD3B06}"/>
    <cellStyle name="Note 7 2" xfId="633" xr:uid="{0FA162DD-8AE3-40A5-BD02-85D3369F9A6B}"/>
    <cellStyle name="Note 7 3" xfId="634" xr:uid="{F0889876-169B-4EA9-971B-573F03FD492D}"/>
    <cellStyle name="Note 8" xfId="635" xr:uid="{E673D3CE-FC76-430C-B1D4-FAA604CAE0F2}"/>
    <cellStyle name="Note 8 2" xfId="636" xr:uid="{93830B5E-DEAD-4674-9621-8C75D4B78C57}"/>
    <cellStyle name="Note 8 3" xfId="637" xr:uid="{845FA53C-F79C-42C5-9DBD-D284AF094ADE}"/>
    <cellStyle name="Note 9" xfId="638" xr:uid="{B5951C7B-BDF7-42BF-86E5-BA93DC1169B0}"/>
    <cellStyle name="Note 9 2" xfId="639" xr:uid="{DF8F79D8-B3C9-4800-B98D-B76323DD8556}"/>
    <cellStyle name="Note 9 3" xfId="640" xr:uid="{9BB6CC5C-92A5-4493-A7B5-527E2B3130E0}"/>
    <cellStyle name="notes" xfId="641" xr:uid="{86163815-96CF-4FD9-8C7E-6D55B952AE17}"/>
    <cellStyle name="Option" xfId="67" xr:uid="{655E3C8B-9A9E-431C-AC77-661F37801506}"/>
    <cellStyle name="Option 2" xfId="642" xr:uid="{64F7DF34-BE71-46B2-9C82-454D084326A4}"/>
    <cellStyle name="Output 2" xfId="643" xr:uid="{F79E47E9-8C36-46C8-B816-49DAD88FADD3}"/>
    <cellStyle name="Output 3" xfId="644" xr:uid="{10D48A87-52DB-4A5F-9C43-50E576255BF9}"/>
    <cellStyle name="Output 4" xfId="645" xr:uid="{4754E297-6717-4AB4-A50D-BF2341268DFD}"/>
    <cellStyle name="Output 5" xfId="646" xr:uid="{557E9A96-20A7-4EAB-A993-7B913E073A0D}"/>
    <cellStyle name="Per cent" xfId="2" builtinId="5"/>
    <cellStyle name="Percent [2]" xfId="68" xr:uid="{7422794E-71F0-4910-B2F0-87B6CFEB24C9}"/>
    <cellStyle name="Percent [2] 2" xfId="647" xr:uid="{1508A4CB-FF35-4ADB-A578-8EBE4131B522}"/>
    <cellStyle name="Percent [2] 3" xfId="648" xr:uid="{E00DCFE5-C088-45D7-8842-F6792D93C5E2}"/>
    <cellStyle name="Percent [2] 4" xfId="649" xr:uid="{9C59F37A-9C62-4D36-8A38-BA4296573D73}"/>
    <cellStyle name="Percent [2] 5" xfId="650" xr:uid="{230A8E00-C87C-49FE-820A-F5710B0F9ADA}"/>
    <cellStyle name="Percent [2] 6" xfId="651" xr:uid="{10240515-F6C0-480A-B794-86DE73F10A19}"/>
    <cellStyle name="Percent [2] 7" xfId="652" xr:uid="{A3F1C28F-F2E2-4F0B-B617-1DA2549C0DED}"/>
    <cellStyle name="Percent [2] 8" xfId="653" xr:uid="{79943F20-7BB3-41E6-93FC-397D5CA89944}"/>
    <cellStyle name="Percent 10" xfId="654" xr:uid="{DEC630DC-04C8-4553-A2AC-52CC08F54322}"/>
    <cellStyle name="Percent 11" xfId="655" xr:uid="{D79F091E-0100-42E5-9B4C-7045524B1AA0}"/>
    <cellStyle name="Percent 12" xfId="656" xr:uid="{359BC83C-6860-49BA-AAEF-21AFB9E2EAD7}"/>
    <cellStyle name="Percent 13" xfId="657" xr:uid="{29C742F3-B639-46DE-AE0B-E8A55307E07B}"/>
    <cellStyle name="Percent 14" xfId="658" xr:uid="{8C265B03-8E29-4A54-ABA5-595A718733FC}"/>
    <cellStyle name="Percent 15" xfId="659" xr:uid="{96F329D1-D90C-4FB8-AFE3-6DE06B9A9031}"/>
    <cellStyle name="Percent 2" xfId="5" xr:uid="{448D7F9D-2BCD-4F8F-B378-6927F406944D}"/>
    <cellStyle name="Percent 2 10" xfId="660" xr:uid="{DEE71523-7C3D-4584-A66E-5C69666FF208}"/>
    <cellStyle name="Percent 2 2" xfId="661" xr:uid="{A0777EE6-8DC6-4BAA-AC7E-A806C7BEA275}"/>
    <cellStyle name="Percent 2 2 2" xfId="662" xr:uid="{0B5EB28C-4205-4FC1-B165-7403B7C5E5EF}"/>
    <cellStyle name="Percent 2 3" xfId="663" xr:uid="{A37808CE-CC6E-408E-8B55-5FF7620BEDCD}"/>
    <cellStyle name="Percent 2 4" xfId="664" xr:uid="{393CD18C-044B-4E31-B65B-AC7553135D45}"/>
    <cellStyle name="Percent 2 5" xfId="665" xr:uid="{3BF62502-E36D-4905-A7DA-B0F108592BF9}"/>
    <cellStyle name="Percent 2 6" xfId="666" xr:uid="{0F2E3D10-7347-4C32-8F32-6C035CED5563}"/>
    <cellStyle name="Percent 2 7" xfId="667" xr:uid="{692D1ED3-727A-4BC9-84DB-9AF8546F0AE4}"/>
    <cellStyle name="Percent 2 8" xfId="668" xr:uid="{A209365B-B9B8-450B-B002-4308777342FD}"/>
    <cellStyle name="Percent 2 9" xfId="669" xr:uid="{405DB6BB-6DD7-44CD-96B8-1B1D7CFD7370}"/>
    <cellStyle name="Percent 3" xfId="670" xr:uid="{9CE4F901-607E-4B09-9DC3-BD1984A9A0AF}"/>
    <cellStyle name="Percent 3 2" xfId="671" xr:uid="{FB0D56F7-11E7-48EB-BB76-7D12163E4F3B}"/>
    <cellStyle name="Percent 4" xfId="672" xr:uid="{4E27F3E7-182B-41E0-95DA-9B35BC7021BF}"/>
    <cellStyle name="Percent 4 2" xfId="673" xr:uid="{0F7272F9-7A5D-44A8-A37E-76E29F5DA632}"/>
    <cellStyle name="Percent 5" xfId="674" xr:uid="{A3888116-435B-4036-BFDC-2E12DC0A956E}"/>
    <cellStyle name="Percent 5 2" xfId="675" xr:uid="{B9B90BEA-618F-4B75-8602-96F8912E0196}"/>
    <cellStyle name="Percent 6" xfId="676" xr:uid="{3A72AE77-AE0C-4B19-88FE-5A6A0C5F1D2C}"/>
    <cellStyle name="Percent 7" xfId="677" xr:uid="{A2DDD98F-B2D8-488F-816C-21984259E4BC}"/>
    <cellStyle name="Percent 8" xfId="678" xr:uid="{4E92EE36-BC6D-4D15-826E-1A6BB96C020B}"/>
    <cellStyle name="Percent 9" xfId="679" xr:uid="{6CF879BA-011C-4FC3-B25A-01062B637EA8}"/>
    <cellStyle name="Percent 9 2" xfId="680" xr:uid="{7C1501D4-9CD5-4670-BEE7-32CA010D70AD}"/>
    <cellStyle name="percentage difference" xfId="681" xr:uid="{287E7705-ACBD-439A-ACBB-FFAB7FAB70A6}"/>
    <cellStyle name="percentage difference one decimal" xfId="123" xr:uid="{0B1473B0-EABA-418B-B935-BF0CDBD72E6C}"/>
    <cellStyle name="percentage difference zero decimal" xfId="124" xr:uid="{91EF4A0B-E305-43A9-9122-FA0C8A9E9018}"/>
    <cellStyle name="RevList" xfId="69" xr:uid="{AC34CB63-5489-4839-8B31-EEA586551E65}"/>
    <cellStyle name="semestre" xfId="682" xr:uid="{91005E30-2D69-4C8E-963A-EBAF9249550C}"/>
    <cellStyle name="Sheet Title" xfId="683" xr:uid="{8DB0F7EA-5E3F-45C9-B44C-6CACA2F1EA4B}"/>
    <cellStyle name="Standard_Tabelle1" xfId="684" xr:uid="{5B065D3E-7B60-4F85-8BBF-23CB94097EDA}"/>
    <cellStyle name="Style 1" xfId="685" xr:uid="{9DB0AD34-5CC5-4F58-A812-F56A83CCFB6C}"/>
    <cellStyle name="Style 21" xfId="686" xr:uid="{AC8844C4-CCB9-45E7-A494-F81E4DEF01F3}"/>
    <cellStyle name="Style 22" xfId="687" xr:uid="{F3B062DA-889E-4682-81E2-8FE05C9F86B8}"/>
    <cellStyle name="Style 23" xfId="688" xr:uid="{D9D7E5F5-EE54-45BF-ABF2-B3CC1E0B055F}"/>
    <cellStyle name="Style 23 2" xfId="689" xr:uid="{0F185637-95A5-40A3-830C-0082D52C3DE4}"/>
    <cellStyle name="Style 23 3" xfId="690" xr:uid="{67BC8492-1C23-454E-9865-39FE2CAA7A33}"/>
    <cellStyle name="Style 24" xfId="691" xr:uid="{BDEF78D3-F057-4D18-8526-391D95CE2D0F}"/>
    <cellStyle name="Style 24 2" xfId="692" xr:uid="{297B9635-DF5E-4CEA-A877-D0BF88C5F356}"/>
    <cellStyle name="Style 24 3" xfId="693" xr:uid="{AD975A1D-A0CD-4B68-894A-9C19AFC9141E}"/>
    <cellStyle name="Style 25" xfId="694" xr:uid="{9BC01A17-0310-4341-AE61-ECD45C8351B9}"/>
    <cellStyle name="Style 25 2" xfId="695" xr:uid="{D22B9A77-2506-40C8-81E2-465A68C0F16A}"/>
    <cellStyle name="Style 25 3" xfId="696" xr:uid="{E9946A93-9454-4950-A6C8-96C2668626AE}"/>
    <cellStyle name="Style 26" xfId="697" xr:uid="{A29921AD-CF57-4E2B-B036-F9905275C12E}"/>
    <cellStyle name="Style 26 2" xfId="698" xr:uid="{535AA7C8-82A8-412C-B6F9-E25753CFDCAC}"/>
    <cellStyle name="Style 26 3" xfId="699" xr:uid="{0CB68480-5A57-4094-BCBA-42507D0DB05C}"/>
    <cellStyle name="Style 27" xfId="17" xr:uid="{542E108D-C449-4A2E-82A9-B1CEEA2514EA}"/>
    <cellStyle name="Style 27 2" xfId="700" xr:uid="{A5D06FA1-3BD1-4698-8518-AF8675513AE8}"/>
    <cellStyle name="Style 27 3" xfId="701" xr:uid="{14D85074-E19A-4263-9D96-26CC57D778AB}"/>
    <cellStyle name="Style 28" xfId="702" xr:uid="{EC320D67-66B1-4A4B-B9E0-282C0258B60A}"/>
    <cellStyle name="Style 28 2" xfId="703" xr:uid="{8CDDF720-A27C-420A-83B2-A9021DB5817A}"/>
    <cellStyle name="Style 28 3" xfId="704" xr:uid="{0D711525-E2B0-437E-B750-96C7403D6410}"/>
    <cellStyle name="Style 29" xfId="705" xr:uid="{31ADFF60-BEEA-40FA-850C-5E7EB06068E9}"/>
    <cellStyle name="Style 29 2" xfId="706" xr:uid="{3EE856B0-EFAF-4268-8176-17F5307E2A64}"/>
    <cellStyle name="Style 29 3" xfId="707" xr:uid="{A79F6339-8A0E-46E3-9DD2-435F34768200}"/>
    <cellStyle name="Style 30" xfId="708" xr:uid="{F52BAC42-FA9A-4DBE-9BB9-8DA8136CA2FE}"/>
    <cellStyle name="Style 30 2" xfId="709" xr:uid="{0908FBDB-2DBA-4030-BE0D-480F2D6A770B}"/>
    <cellStyle name="Style 30 3" xfId="710" xr:uid="{670648C9-D0A4-4765-A7C7-BEBE50655D4F}"/>
    <cellStyle name="Style 31" xfId="711" xr:uid="{94E99B98-F9DB-4A6A-AA6F-D6B78A8E6E62}"/>
    <cellStyle name="Style 31 2" xfId="712" xr:uid="{BC528E60-9A6A-4550-957D-5A0E36E8BCB1}"/>
    <cellStyle name="Style 31 3" xfId="713" xr:uid="{1356E3ED-AAD7-49A6-9A08-C5920ED367AC}"/>
    <cellStyle name="Style 32" xfId="714" xr:uid="{F1C8F613-B1B5-4119-B466-37F7AE7BE872}"/>
    <cellStyle name="Style 32 2" xfId="715" xr:uid="{01BB7F2F-9FB0-40BE-A8F9-52FECD6FBA51}"/>
    <cellStyle name="Style 32 3" xfId="716" xr:uid="{AAF63926-1025-429A-8364-823F2726B1A6}"/>
    <cellStyle name="Style 33" xfId="717" xr:uid="{91EEFBE7-7379-46D1-B738-F8D385B8E0CB}"/>
    <cellStyle name="Style 34" xfId="718" xr:uid="{81B0123C-D185-49F5-ADB0-6DD520CAF18B}"/>
    <cellStyle name="Style 35" xfId="18" xr:uid="{57B5F3F5-A0BA-458C-BA2D-57745617AAE8}"/>
    <cellStyle name="Style 36" xfId="19" xr:uid="{98BD1FA5-86F9-4DB2-A74E-D3C207ECD1F0}"/>
    <cellStyle name="Subtotal" xfId="70" xr:uid="{1D1540D6-14A8-46FC-9FB0-0DACCD47D011}"/>
    <cellStyle name="tête chapitre" xfId="719" xr:uid="{B3CCE239-2ABC-4B82-8521-8177CD82F3A5}"/>
    <cellStyle name="Title 2" xfId="720" xr:uid="{C4EE9570-6DDB-4E99-B8D2-DAEA88D45645}"/>
    <cellStyle name="Title 3" xfId="721" xr:uid="{DD36D3CB-8D27-4FDF-8FC4-2F65B17F2977}"/>
    <cellStyle name="Title 4" xfId="722" xr:uid="{C6710441-4C86-482B-A94F-2829F3692A16}"/>
    <cellStyle name="Title 5" xfId="723" xr:uid="{3170ACEE-18B7-443F-9FB3-FC2AC8F17DC7}"/>
    <cellStyle name="titre" xfId="724" xr:uid="{15A595B4-7175-48F6-AD84-1D8F7CF257BE}"/>
    <cellStyle name="Total 2" xfId="725" xr:uid="{55B80DB9-CBFB-4F05-8851-68407339060A}"/>
    <cellStyle name="Total 3" xfId="726" xr:uid="{B2DF8580-394D-40BA-A2F6-749646179611}"/>
    <cellStyle name="Total 4" xfId="727" xr:uid="{CCA38E2F-9113-4BF4-957A-B72B76666C07}"/>
    <cellStyle name="Total 5" xfId="728" xr:uid="{F4D7D436-1752-4DAE-A8B1-D0FE0ACA1115}"/>
    <cellStyle name="Value" xfId="71" xr:uid="{35A9BEF9-B21B-4787-88B6-1A06EDFB79F7}"/>
    <cellStyle name="Value 2" xfId="729" xr:uid="{435D4DEF-9472-44C7-8C74-26E95C45357A}"/>
    <cellStyle name="Warning Text 2" xfId="730" xr:uid="{7275FAFA-8CB8-499E-A330-94D9F692BD0E}"/>
    <cellStyle name="Warning Text 3" xfId="731" xr:uid="{1AB8C806-5E59-4B20-BAAC-7CE93F569315}"/>
    <cellStyle name="Warning Text 4" xfId="732" xr:uid="{E52F9C1C-7DAB-404F-91C7-F0773F635919}"/>
    <cellStyle name="Warning Text 5" xfId="733" xr:uid="{FB610A13-546E-4B73-8941-6E5DF6D46A8D}"/>
    <cellStyle name="ปกติ_Tab53" xfId="734" xr:uid="{F6098636-8B95-4B94-80DD-3A52E2DC5C03}"/>
    <cellStyle name="標準_m131x_入力訂正84_入力訂正86" xfId="735" xr:uid="{E535BD19-1E48-4B4E-8F12-4543FB6DAD91}"/>
  </cellStyles>
  <dxfs count="1">
    <dxf>
      <numFmt numFmtId="198"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eetMetadata" Target="metadata.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0</xdr:colOff>
      <xdr:row>38</xdr:row>
      <xdr:rowOff>0</xdr:rowOff>
    </xdr:from>
    <xdr:ext cx="6781800" cy="30480"/>
    <xdr:sp macro="" textlink="">
      <xdr:nvSpPr>
        <xdr:cNvPr id="2" name="Shape 84">
          <a:extLst>
            <a:ext uri="{FF2B5EF4-FFF2-40B4-BE49-F238E27FC236}">
              <a16:creationId xmlns:a16="http://schemas.microsoft.com/office/drawing/2014/main" id="{98EF83A4-68D0-4878-A476-79502C1F6BE8}"/>
            </a:ext>
          </a:extLst>
        </xdr:cNvPr>
        <xdr:cNvSpPr/>
      </xdr:nvSpPr>
      <xdr:spPr>
        <a:xfrm>
          <a:off x="0" y="9502203"/>
          <a:ext cx="6781800" cy="30480"/>
        </a:xfrm>
        <a:custGeom>
          <a:avLst/>
          <a:gdLst/>
          <a:ahLst/>
          <a:cxnLst/>
          <a:rect l="0" t="0" r="0" b="0"/>
          <a:pathLst>
            <a:path w="6781800" h="30480">
              <a:moveTo>
                <a:pt x="6781533" y="0"/>
              </a:moveTo>
              <a:lnTo>
                <a:pt x="24384" y="0"/>
              </a:lnTo>
              <a:lnTo>
                <a:pt x="0" y="0"/>
              </a:lnTo>
              <a:lnTo>
                <a:pt x="0" y="30480"/>
              </a:lnTo>
              <a:lnTo>
                <a:pt x="24384" y="30480"/>
              </a:lnTo>
              <a:lnTo>
                <a:pt x="24384" y="24384"/>
              </a:lnTo>
              <a:lnTo>
                <a:pt x="6757162" y="24384"/>
              </a:lnTo>
              <a:lnTo>
                <a:pt x="6757162" y="30480"/>
              </a:lnTo>
              <a:lnTo>
                <a:pt x="6781533" y="30480"/>
              </a:lnTo>
              <a:lnTo>
                <a:pt x="6781533" y="24384"/>
              </a:lnTo>
              <a:lnTo>
                <a:pt x="6781533" y="0"/>
              </a:lnTo>
              <a:close/>
            </a:path>
          </a:pathLst>
        </a:custGeom>
        <a:solidFill>
          <a:srgbClr val="000000"/>
        </a:solidFill>
      </xdr:spPr>
    </xdr:sp>
    <xdr:clientData/>
  </xdr:oneCellAnchor>
  <xdr:oneCellAnchor>
    <xdr:from>
      <xdr:col>0</xdr:col>
      <xdr:colOff>6159</xdr:colOff>
      <xdr:row>539</xdr:row>
      <xdr:rowOff>193419</xdr:rowOff>
    </xdr:from>
    <xdr:ext cx="6757670" cy="12700"/>
    <xdr:grpSp>
      <xdr:nvGrpSpPr>
        <xdr:cNvPr id="3" name="Group 85">
          <a:extLst>
            <a:ext uri="{FF2B5EF4-FFF2-40B4-BE49-F238E27FC236}">
              <a16:creationId xmlns:a16="http://schemas.microsoft.com/office/drawing/2014/main" id="{E7B38EF8-8991-47C3-A688-6069D48292D2}"/>
            </a:ext>
          </a:extLst>
        </xdr:cNvPr>
        <xdr:cNvGrpSpPr/>
      </xdr:nvGrpSpPr>
      <xdr:grpSpPr>
        <a:xfrm>
          <a:off x="6159" y="102339519"/>
          <a:ext cx="6757670" cy="12700"/>
          <a:chOff x="0" y="0"/>
          <a:chExt cx="6757670" cy="12700"/>
        </a:xfrm>
      </xdr:grpSpPr>
      <xdr:sp macro="" textlink="">
        <xdr:nvSpPr>
          <xdr:cNvPr id="4" name="Shape 86">
            <a:extLst>
              <a:ext uri="{FF2B5EF4-FFF2-40B4-BE49-F238E27FC236}">
                <a16:creationId xmlns:a16="http://schemas.microsoft.com/office/drawing/2014/main" id="{BF583BFC-0531-6F01-A36F-3503ABCE14D9}"/>
              </a:ext>
            </a:extLst>
          </xdr:cNvPr>
          <xdr:cNvSpPr/>
        </xdr:nvSpPr>
        <xdr:spPr>
          <a:xfrm>
            <a:off x="761" y="889"/>
            <a:ext cx="6755765" cy="0"/>
          </a:xfrm>
          <a:custGeom>
            <a:avLst/>
            <a:gdLst/>
            <a:ahLst/>
            <a:cxnLst/>
            <a:rect l="0" t="0" r="0" b="0"/>
            <a:pathLst>
              <a:path w="6755765">
                <a:moveTo>
                  <a:pt x="0" y="0"/>
                </a:moveTo>
                <a:lnTo>
                  <a:pt x="6755637" y="0"/>
                </a:lnTo>
              </a:path>
            </a:pathLst>
          </a:custGeom>
          <a:ln w="3175">
            <a:solidFill>
              <a:srgbClr val="000000"/>
            </a:solidFill>
          </a:ln>
        </xdr:spPr>
      </xdr:sp>
      <xdr:sp macro="" textlink="">
        <xdr:nvSpPr>
          <xdr:cNvPr id="5" name="Shape 87">
            <a:extLst>
              <a:ext uri="{FF2B5EF4-FFF2-40B4-BE49-F238E27FC236}">
                <a16:creationId xmlns:a16="http://schemas.microsoft.com/office/drawing/2014/main" id="{B7A5C5FA-9E3E-C461-FDDC-41C492CC8823}"/>
              </a:ext>
            </a:extLst>
          </xdr:cNvPr>
          <xdr:cNvSpPr/>
        </xdr:nvSpPr>
        <xdr:spPr>
          <a:xfrm>
            <a:off x="0" y="126"/>
            <a:ext cx="6757670" cy="12700"/>
          </a:xfrm>
          <a:custGeom>
            <a:avLst/>
            <a:gdLst/>
            <a:ahLst/>
            <a:cxnLst/>
            <a:rect l="0" t="0" r="0" b="0"/>
            <a:pathLst>
              <a:path w="6757670" h="12700">
                <a:moveTo>
                  <a:pt x="6757161" y="0"/>
                </a:moveTo>
                <a:lnTo>
                  <a:pt x="0" y="0"/>
                </a:lnTo>
                <a:lnTo>
                  <a:pt x="0" y="12192"/>
                </a:lnTo>
                <a:lnTo>
                  <a:pt x="6757161" y="12192"/>
                </a:lnTo>
                <a:lnTo>
                  <a:pt x="6757161" y="0"/>
                </a:lnTo>
                <a:close/>
              </a:path>
            </a:pathLst>
          </a:custGeom>
          <a:solidFill>
            <a:srgbClr val="000000"/>
          </a:solidFill>
        </xdr:spPr>
      </xdr:sp>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hifs\SBP\DMMD\MoneyMarket\MTB%20Auction\Treasury%20Bills%20Summary%20Ful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hifs\SBP\DMMD\MoneyMarket\MTB%20Auction\01%20-%20MTBs%20Auction%20Bid%20Report\July,%202023%20-%20June%202024%20(649-\MTB-669\1-MTB-6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
      <sheetName val="1-Months"/>
      <sheetName val="3-Months"/>
      <sheetName val="6-Months"/>
      <sheetName val="12-Months"/>
      <sheetName val="Detailed"/>
      <sheetName val="Statistical Bulletin"/>
      <sheetName val="Special Auction 22 Days"/>
      <sheetName val="MTB Summary "/>
      <sheetName val="MTB Summary Web (Final)"/>
      <sheetName val="MTB Summary (Web) Final"/>
      <sheetName val="Concise"/>
      <sheetName val="F"/>
      <sheetName val="G"/>
      <sheetName val="I"/>
      <sheetName val="Sheet1"/>
      <sheetName val="Sheet2"/>
      <sheetName val="91-96"/>
      <sheetName val="96-98"/>
      <sheetName val="Page-1"/>
      <sheetName val="Page-2"/>
      <sheetName val="Page-3"/>
      <sheetName val="98-todate rate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 "/>
      <sheetName val="Pivot_Table"/>
      <sheetName val="03-Month"/>
      <sheetName val="06-Month"/>
      <sheetName val="12-Month"/>
      <sheetName val="MOF 3M"/>
      <sheetName val="MOF 6M"/>
      <sheetName val="MOF 12M"/>
      <sheetName val="Auction Proposal 1"/>
      <sheetName val="Proposal "/>
      <sheetName val="Decision Sheet"/>
      <sheetName val="Web Result"/>
      <sheetName val="T-Bill Summary"/>
      <sheetName val="Bloomberg"/>
      <sheetName val="Non Competitive Subscription"/>
      <sheetName val="E-Mails"/>
      <sheetName val="E-Mail"/>
      <sheetName val="Press Communiq"/>
      <sheetName val="Pro-r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58D28D-C6B5-4EBD-9E52-F72C8E79F5FD}" name="Table1" displayName="Table1" ref="A1:F91" totalsRowShown="0">
  <autoFilter ref="A1:F91" xr:uid="{F758D28D-C6B5-4EBD-9E52-F72C8E79F5FD}">
    <filterColumn colId="1">
      <filters>
        <filter val="State Bank of Pakistan's Policy (Target) Rate"/>
      </filters>
    </filterColumn>
  </autoFilter>
  <tableColumns count="6">
    <tableColumn id="1" xr3:uid="{FE599161-6E8D-426F-A4EF-1CF2C9F43CED}" name="Observation Date" dataDxfId="0"/>
    <tableColumn id="2" xr3:uid="{1854AF12-0069-43A1-A1BC-E9019763B61E}" name="Series name"/>
    <tableColumn id="3" xr3:uid="{DD64DD4A-0C17-4AED-B1BF-599E7334B146}" name="Observation Value"/>
    <tableColumn id="4" xr3:uid="{AE13E665-03C7-4BDF-93A6-2707073A0004}" name="Unit"/>
    <tableColumn id="5" xr3:uid="{14903DEF-AB0C-4426-8503-EEDB6ACAC909}" name="Observation Status"/>
    <tableColumn id="6" xr3:uid="{F86A604D-5A3B-411D-84CB-31F2E3F9179B}" name="Sequence N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208E-A0FA-43E9-8DA3-3E4BB45AC8A4}">
  <dimension ref="A1:L81"/>
  <sheetViews>
    <sheetView showGridLines="0" tabSelected="1" zoomScale="70" zoomScaleNormal="70" workbookViewId="0">
      <pane xSplit="1" ySplit="2" topLeftCell="B3" activePane="bottomRight" state="frozen"/>
      <selection pane="bottomRight" activeCell="E54" sqref="E54"/>
      <selection pane="bottomLeft" activeCell="A3" sqref="A3"/>
      <selection pane="topRight" activeCell="B1" sqref="B1"/>
    </sheetView>
  </sheetViews>
  <sheetFormatPr defaultRowHeight="14.45"/>
  <cols>
    <col min="1" max="1" width="55.7109375" bestFit="1" customWidth="1"/>
    <col min="2" max="2" width="10.28515625" bestFit="1" customWidth="1"/>
    <col min="3" max="3" width="20.28515625" bestFit="1" customWidth="1"/>
    <col min="4" max="4" width="10.28515625" customWidth="1"/>
    <col min="5" max="5" width="21.28515625" bestFit="1" customWidth="1"/>
    <col min="6" max="6" width="7.5703125" bestFit="1" customWidth="1"/>
    <col min="7" max="7" width="20.28515625" bestFit="1" customWidth="1"/>
    <col min="8" max="8" width="7.5703125" bestFit="1" customWidth="1"/>
    <col min="9" max="9" width="20.28515625" bestFit="1" customWidth="1"/>
    <col min="10" max="10" width="7.5703125" bestFit="1" customWidth="1"/>
    <col min="11" max="11" width="20.28515625" bestFit="1" customWidth="1"/>
    <col min="12" max="12" width="13.7109375" bestFit="1" customWidth="1"/>
  </cols>
  <sheetData>
    <row r="1" spans="1:12">
      <c r="A1" s="33" t="s">
        <v>0</v>
      </c>
      <c r="C1" s="37" t="s">
        <v>1</v>
      </c>
      <c r="E1" s="37" t="s">
        <v>1</v>
      </c>
      <c r="G1" s="37" t="s">
        <v>1</v>
      </c>
      <c r="I1" s="33" t="s">
        <v>1</v>
      </c>
      <c r="K1" s="33" t="s">
        <v>1</v>
      </c>
    </row>
    <row r="2" spans="1:12">
      <c r="A2" s="33" t="s">
        <v>2</v>
      </c>
      <c r="C2" s="37" t="s">
        <v>3</v>
      </c>
      <c r="E2" s="37">
        <v>24</v>
      </c>
      <c r="F2" s="9"/>
      <c r="G2" s="37">
        <v>23</v>
      </c>
      <c r="H2" s="9"/>
      <c r="I2" s="36">
        <v>22</v>
      </c>
      <c r="J2" s="9"/>
      <c r="K2" s="36">
        <v>21</v>
      </c>
    </row>
    <row r="3" spans="1:12">
      <c r="A3" s="85" t="s">
        <v>4</v>
      </c>
      <c r="C3" s="84">
        <f>SOFP!$D$14</f>
        <v>6838081306.1606884</v>
      </c>
      <c r="E3" s="84">
        <f>SOFP!$F$14</f>
        <v>6055112877</v>
      </c>
      <c r="F3" s="5"/>
      <c r="G3" s="86" t="str">
        <f>SOFP!$H$14</f>
        <v>5,534,348,303</v>
      </c>
      <c r="H3" s="5"/>
      <c r="I3" s="84">
        <f>SOFP!$J$14</f>
        <v>4638806111</v>
      </c>
      <c r="J3" s="5"/>
      <c r="K3" s="84">
        <f>SOFP!$L$14</f>
        <v>4317468145</v>
      </c>
    </row>
    <row r="4" spans="1:12">
      <c r="A4" s="85" t="s">
        <v>5</v>
      </c>
      <c r="C4" s="84">
        <f>SOFP!$D$25</f>
        <v>451457505.86147523</v>
      </c>
      <c r="E4" s="84">
        <f>SOFP!$F$25</f>
        <v>410798094</v>
      </c>
      <c r="G4" s="84">
        <f>SOFP!$H$25</f>
        <v>366020653</v>
      </c>
      <c r="I4" s="84">
        <f>SOFP!$J$25</f>
        <v>285021814</v>
      </c>
      <c r="K4" s="84">
        <f>SOFP!$L$25</f>
        <v>283685802</v>
      </c>
    </row>
    <row r="5" spans="1:12">
      <c r="A5" s="85" t="s">
        <v>6</v>
      </c>
      <c r="C5" s="84">
        <f>'P&amp;L'!$D$3+$O$64+$O$65+$O$67+$O$68+$O$69</f>
        <v>603578892.27079022</v>
      </c>
      <c r="E5" s="84">
        <f>'P&amp;L'!$F$3+$O$64+$O$65+$O$67+$O$68+$O$69</f>
        <v>813192081</v>
      </c>
      <c r="F5" s="5"/>
      <c r="G5" s="84">
        <f>'P&amp;L'!$H$3+$Q$64+$Q$65+$Q$67+$Q$68+$Q$69</f>
        <v>712345078</v>
      </c>
      <c r="H5" s="5"/>
      <c r="I5" s="84">
        <f>'P&amp;L'!$J$3+$S$64+$S$65+$S$67+$S$68+$S$69</f>
        <v>436101037</v>
      </c>
      <c r="J5" s="5"/>
      <c r="K5" s="84">
        <f>'P&amp;L'!$L$3+$U$64+$U$65+$U$67+$U$68+$U$69</f>
        <v>262253962</v>
      </c>
    </row>
    <row r="6" spans="1:12">
      <c r="A6" s="85" t="s">
        <v>7</v>
      </c>
      <c r="C6" s="84">
        <f>C7+'P&amp;L'!D144+'P&amp;L'!D148+'P&amp;L'!D154</f>
        <v>146455761.04697552</v>
      </c>
      <c r="E6" s="84">
        <f>E7+'P&amp;L'!F144+'P&amp;L'!F148+'P&amp;L'!F154</f>
        <v>165159168</v>
      </c>
      <c r="F6" s="5"/>
      <c r="G6" s="84">
        <f>G7+'P&amp;L'!H144+'P&amp;L'!H148+'P&amp;L'!H154</f>
        <v>143168520</v>
      </c>
      <c r="H6" s="5"/>
      <c r="I6" s="84">
        <f>I7+'P&amp;L'!J144+'P&amp;L'!J148+'P&amp;L'!J154</f>
        <v>99124697</v>
      </c>
      <c r="J6" s="5"/>
      <c r="K6" s="84">
        <f>K7+'P&amp;L'!L144+'P&amp;L'!L148+'P&amp;L'!L154</f>
        <v>81530017</v>
      </c>
    </row>
    <row r="7" spans="1:12">
      <c r="A7" s="85" t="s">
        <v>8</v>
      </c>
      <c r="C7" s="84">
        <f>'P&amp;L'!$D$24</f>
        <v>127208903.3229329</v>
      </c>
      <c r="E7" s="84">
        <f>'P&amp;L'!$F$24</f>
        <v>146938167</v>
      </c>
      <c r="F7" s="5"/>
      <c r="G7" s="84">
        <f>'P&amp;L'!$H$24</f>
        <v>126816775</v>
      </c>
      <c r="H7" s="5"/>
      <c r="I7" s="84">
        <f>'P&amp;L'!$J$24</f>
        <v>85511699</v>
      </c>
      <c r="J7" s="5"/>
      <c r="K7" s="84">
        <f>'P&amp;L'!$L$24</f>
        <v>70115016</v>
      </c>
    </row>
    <row r="8" spans="1:12">
      <c r="A8" s="85" t="s">
        <v>9</v>
      </c>
      <c r="C8" s="84">
        <f>'P&amp;L'!$D$26</f>
        <v>108441567.30554156</v>
      </c>
      <c r="E8" s="84">
        <f>'P&amp;L'!$F$26</f>
        <v>120334380</v>
      </c>
      <c r="F8" s="5"/>
      <c r="G8" s="84">
        <f>'P&amp;L'!$H$26</f>
        <v>113550996</v>
      </c>
      <c r="H8" s="5"/>
      <c r="I8" s="84">
        <f>'P&amp;L'!$J$26</f>
        <v>77029938</v>
      </c>
      <c r="J8" s="5"/>
      <c r="K8" s="84">
        <f>'P&amp;L'!$L$26</f>
        <v>62027911</v>
      </c>
    </row>
    <row r="9" spans="1:12">
      <c r="A9" s="85" t="s">
        <v>10</v>
      </c>
      <c r="C9" s="74">
        <f>'P&amp;L'!$D$33</f>
        <v>49883120.960549109</v>
      </c>
      <c r="E9" s="74">
        <f>'P&amp;L'!$F$33</f>
        <v>57804659</v>
      </c>
      <c r="G9" s="74">
        <f>'P&amp;L'!$H$33</f>
        <v>57757416</v>
      </c>
      <c r="I9" s="74">
        <f>'P&amp;L'!$J$33</f>
        <v>34398330</v>
      </c>
      <c r="K9" s="74">
        <f>'P&amp;L'!$L$33</f>
        <v>35506873</v>
      </c>
    </row>
    <row r="10" spans="1:12">
      <c r="A10" s="28" t="s">
        <v>11</v>
      </c>
      <c r="C10" s="84">
        <f>'P&amp;L'!D35</f>
        <v>1466852</v>
      </c>
      <c r="E10" s="84">
        <f>'P&amp;L'!F35</f>
        <v>1466852</v>
      </c>
      <c r="G10" s="84">
        <f>'P&amp;L'!H35</f>
        <v>1466852</v>
      </c>
      <c r="I10" s="84">
        <f>'P&amp;L'!J35</f>
        <v>1466852</v>
      </c>
      <c r="K10" s="84">
        <f>'P&amp;L'!L35</f>
        <v>1466852</v>
      </c>
    </row>
    <row r="11" spans="1:12">
      <c r="A11" s="85" t="s">
        <v>12</v>
      </c>
      <c r="C11" s="96">
        <f>'P&amp;L'!D36</f>
        <v>33.866535387066939</v>
      </c>
      <c r="E11" s="96">
        <f>'P&amp;L'!F36</f>
        <v>39.85</v>
      </c>
      <c r="G11" s="96">
        <f>'P&amp;L'!H36</f>
        <v>39.32</v>
      </c>
      <c r="I11" s="96">
        <f>'P&amp;L'!J36</f>
        <v>23.23</v>
      </c>
      <c r="K11" s="96">
        <f>'P&amp;L'!L36</f>
        <v>23.88</v>
      </c>
    </row>
    <row r="12" spans="1:12">
      <c r="A12" s="85" t="s">
        <v>13</v>
      </c>
      <c r="C12" s="96">
        <f>C4/C10</f>
        <v>307.77304449356529</v>
      </c>
      <c r="E12" s="96">
        <f>E4/E10</f>
        <v>280.05422087572572</v>
      </c>
      <c r="G12" s="96">
        <f>G4/G10</f>
        <v>249.52800487029367</v>
      </c>
      <c r="I12" s="96">
        <f>I4/I10</f>
        <v>194.30850147117772</v>
      </c>
      <c r="K12" s="96">
        <f>K4/K10</f>
        <v>193.397699290726</v>
      </c>
    </row>
    <row r="13" spans="1:12">
      <c r="A13" s="85" t="s">
        <v>14</v>
      </c>
      <c r="C13" s="96">
        <f>C5/C10</f>
        <v>411.47906692071882</v>
      </c>
      <c r="E13" s="96">
        <f>E5/E10</f>
        <v>554.37909277827623</v>
      </c>
      <c r="G13" s="96">
        <f>G5/G10</f>
        <v>485.62846013094708</v>
      </c>
      <c r="I13" s="96">
        <f>I5/I10</f>
        <v>297.30404771578861</v>
      </c>
      <c r="K13" s="96">
        <f>K5/K10</f>
        <v>178.78692737917663</v>
      </c>
    </row>
    <row r="14" spans="1:12">
      <c r="A14" s="85" t="s">
        <v>15</v>
      </c>
      <c r="C14" s="96">
        <f>'P&amp;L'!D37</f>
        <v>10.95390926620075</v>
      </c>
      <c r="E14" s="96">
        <f>'P&amp;L'!F37</f>
        <v>16.25</v>
      </c>
      <c r="G14" s="96">
        <f>'P&amp;L'!H37</f>
        <v>9.75</v>
      </c>
      <c r="I14" s="96">
        <f>'P&amp;L'!J37</f>
        <v>6.75</v>
      </c>
      <c r="K14" s="96">
        <f>'P&amp;L'!L37</f>
        <v>7.5</v>
      </c>
    </row>
    <row r="15" spans="1:12">
      <c r="A15" s="85" t="s">
        <v>16</v>
      </c>
      <c r="C15" s="312"/>
      <c r="E15" s="95" t="s">
        <v>17</v>
      </c>
      <c r="G15" s="95" t="s">
        <v>18</v>
      </c>
      <c r="I15" s="95" t="s">
        <v>19</v>
      </c>
      <c r="K15" s="95" t="s">
        <v>20</v>
      </c>
    </row>
    <row r="16" spans="1:12">
      <c r="A16" s="85" t="s">
        <v>21</v>
      </c>
      <c r="C16" s="314"/>
      <c r="E16" s="97">
        <v>164.91</v>
      </c>
      <c r="G16" s="97">
        <v>112.95</v>
      </c>
      <c r="I16" s="97">
        <v>73.38</v>
      </c>
      <c r="J16" s="7"/>
      <c r="K16" s="97">
        <v>121.41</v>
      </c>
      <c r="L16" s="7"/>
    </row>
    <row r="17" spans="1:11">
      <c r="A17" s="85" t="s">
        <v>22</v>
      </c>
      <c r="C17" s="315"/>
      <c r="E17" s="96">
        <v>162.46</v>
      </c>
      <c r="G17" s="96">
        <v>113.77</v>
      </c>
      <c r="I17" s="96">
        <v>69.56</v>
      </c>
      <c r="K17" s="96">
        <v>116.44</v>
      </c>
    </row>
    <row r="18" spans="1:11">
      <c r="A18" s="85" t="s">
        <v>23</v>
      </c>
      <c r="B18" s="98"/>
      <c r="C18" s="315"/>
      <c r="D18" s="98">
        <v>45742</v>
      </c>
      <c r="E18" s="96">
        <v>153.74</v>
      </c>
      <c r="F18" s="98">
        <v>45352</v>
      </c>
      <c r="G18" s="96">
        <v>117.06</v>
      </c>
      <c r="H18" s="98">
        <v>44988</v>
      </c>
      <c r="I18" s="96">
        <v>71.59</v>
      </c>
      <c r="J18" s="98">
        <v>44988</v>
      </c>
      <c r="K18" s="96">
        <v>115.16</v>
      </c>
    </row>
    <row r="19" spans="1:11">
      <c r="A19" s="85" t="s">
        <v>24</v>
      </c>
      <c r="B19" s="98"/>
      <c r="C19" s="313"/>
      <c r="D19" s="98">
        <v>45735</v>
      </c>
      <c r="E19" s="96">
        <v>154.02000000000001</v>
      </c>
      <c r="F19" s="98">
        <v>45376</v>
      </c>
      <c r="G19" s="96">
        <v>104.13</v>
      </c>
      <c r="H19" s="98">
        <v>45009</v>
      </c>
      <c r="I19" s="96">
        <v>72.5</v>
      </c>
      <c r="J19" s="98">
        <v>45009</v>
      </c>
      <c r="K19" s="96">
        <v>111.98</v>
      </c>
    </row>
    <row r="20" spans="1:11">
      <c r="A20" s="85" t="s">
        <v>25</v>
      </c>
      <c r="B20" s="101"/>
      <c r="C20" s="100">
        <f>'Pakistan Investment Bonds'!I496</f>
        <v>0.13740479999999999</v>
      </c>
      <c r="D20" s="101"/>
      <c r="E20" s="100">
        <f>'Pakistan Investment Bonds'!I496</f>
        <v>0.13740479999999999</v>
      </c>
      <c r="F20" s="98"/>
      <c r="G20" s="100">
        <f>'Pakistan Investment Bonds'!I496</f>
        <v>0.13740479999999999</v>
      </c>
      <c r="H20" s="98"/>
      <c r="I20" s="100">
        <f>'Pakistan Investment Bonds'!I496</f>
        <v>0.13740479999999999</v>
      </c>
      <c r="J20" s="98"/>
      <c r="K20" s="100">
        <f>'Pakistan Investment Bonds'!I496</f>
        <v>0.13740479999999999</v>
      </c>
    </row>
    <row r="21" spans="1:11">
      <c r="A21" s="85" t="s">
        <v>26</v>
      </c>
      <c r="B21" s="101"/>
      <c r="C21" s="96">
        <f>'Regression Monthly'!B18</f>
        <v>1.2900966752615854</v>
      </c>
      <c r="D21" s="101"/>
      <c r="E21" s="96">
        <f>'Regression Monthly'!B18</f>
        <v>1.2900966752615854</v>
      </c>
      <c r="F21" s="98"/>
      <c r="G21" s="96">
        <f>'Regression Monthly'!B18</f>
        <v>1.2900966752615854</v>
      </c>
      <c r="H21" s="98"/>
      <c r="I21" s="96">
        <f>'Regression Monthly'!B18</f>
        <v>1.2900966752615854</v>
      </c>
      <c r="J21" s="98"/>
      <c r="K21" s="96">
        <f>'Regression Monthly'!B18</f>
        <v>1.2900966752615854</v>
      </c>
    </row>
    <row r="22" spans="1:11">
      <c r="A22" s="85" t="s">
        <v>27</v>
      </c>
      <c r="B22" s="101"/>
      <c r="C22" s="100">
        <f>'HBL Stock Price Monthly'!P9+0.05</f>
        <v>0.20742096285919248</v>
      </c>
      <c r="D22" s="101"/>
      <c r="E22" s="100">
        <f>'HBL Stock Price Monthly'!P9+0.05</f>
        <v>0.20742096285919248</v>
      </c>
      <c r="F22" s="98"/>
      <c r="G22" s="128">
        <f>'HBL Stock Price Monthly'!P9+0.05</f>
        <v>0.20742096285919248</v>
      </c>
      <c r="H22" s="98"/>
      <c r="I22" s="128">
        <f>'HBL Stock Price Monthly'!P9+0.05</f>
        <v>0.20742096285919248</v>
      </c>
      <c r="J22" s="98"/>
      <c r="K22" s="128">
        <f>'HBL Stock Price Monthly'!P9+0.05</f>
        <v>0.20742096285919248</v>
      </c>
    </row>
    <row r="23" spans="1:11">
      <c r="A23" s="85" t="s">
        <v>28</v>
      </c>
      <c r="B23" s="101"/>
      <c r="C23" s="100">
        <f>C20+(C21*(C22-C20))</f>
        <v>0.22773241891921792</v>
      </c>
      <c r="D23" s="101"/>
      <c r="E23" s="100">
        <f>E20+(E21*(E22-E20))</f>
        <v>0.22773241891921792</v>
      </c>
      <c r="F23" s="98"/>
      <c r="G23" s="100">
        <f>G20+(G21*(G22-G20))</f>
        <v>0.22773241891921792</v>
      </c>
      <c r="H23" s="98"/>
      <c r="I23" s="100">
        <f>I20+(I21*(I22-I20))</f>
        <v>0.22773241891921792</v>
      </c>
      <c r="J23" s="98"/>
      <c r="K23" s="100">
        <f>K20+(K21*(K22-K20))</f>
        <v>0.22773241891921792</v>
      </c>
    </row>
    <row r="24" spans="1:11">
      <c r="A24" s="85" t="s">
        <v>29</v>
      </c>
      <c r="B24" s="101"/>
      <c r="C24" s="100">
        <f>(C11-C14)/C11</f>
        <v>0.67655654347259087</v>
      </c>
      <c r="D24" s="101"/>
      <c r="E24" s="100">
        <f>(E11-E14)/E11</f>
        <v>0.59222082810539523</v>
      </c>
      <c r="F24" s="98"/>
      <c r="G24" s="100">
        <f>(G11-G14)/G11</f>
        <v>0.75203458799593081</v>
      </c>
      <c r="H24" s="98"/>
      <c r="I24" s="100">
        <f>(I11-I14)/I11</f>
        <v>0.70942746448557903</v>
      </c>
      <c r="J24" s="98"/>
      <c r="K24" s="100">
        <f>(K11-K14)/K11</f>
        <v>0.68592964824120606</v>
      </c>
    </row>
    <row r="25" spans="1:11" ht="13.9" customHeight="1">
      <c r="A25" s="85" t="s">
        <v>30</v>
      </c>
      <c r="B25" s="101"/>
      <c r="C25" s="100">
        <f>C24*C62</f>
        <v>7.4755101989709041E-2</v>
      </c>
      <c r="D25" s="101"/>
      <c r="E25" s="100">
        <f>E24*E62</f>
        <v>8.3333208019533769E-2</v>
      </c>
      <c r="F25" s="98"/>
      <c r="G25" s="100">
        <f>G24*G62</f>
        <v>0.11866973677375954</v>
      </c>
      <c r="H25" s="98"/>
      <c r="I25" s="100">
        <f>I24*I62</f>
        <v>8.5618429312355124E-2</v>
      </c>
      <c r="J25" s="98"/>
      <c r="K25" s="100">
        <f>K24*K62</f>
        <v>8.5852787609847242E-2</v>
      </c>
    </row>
    <row r="26" spans="1:11" ht="13.9" customHeight="1">
      <c r="A26" s="85" t="s">
        <v>31</v>
      </c>
      <c r="B26" s="101"/>
      <c r="C26" s="100">
        <f>C63</f>
        <v>0.11049350229621654</v>
      </c>
      <c r="D26" s="101"/>
      <c r="E26" s="100">
        <f>E63</f>
        <v>0.14071306523637378</v>
      </c>
      <c r="F26" s="98"/>
      <c r="G26" s="100">
        <f>G63</f>
        <v>0.15779824314995688</v>
      </c>
      <c r="H26" s="98"/>
      <c r="I26" s="100">
        <f>I63</f>
        <v>0.12068665733774329</v>
      </c>
      <c r="J26" s="98"/>
      <c r="K26" s="100">
        <f>K63</f>
        <v>0.12516267204659046</v>
      </c>
    </row>
    <row r="27" spans="1:11" ht="13.9" customHeight="1">
      <c r="A27" s="85" t="s">
        <v>32</v>
      </c>
      <c r="B27" s="101"/>
      <c r="C27" s="100">
        <f>'P&amp;L'!C27</f>
        <v>0.54</v>
      </c>
      <c r="D27" s="101"/>
      <c r="E27" s="100">
        <f>'P&amp;L'!E27</f>
        <v>0.51963305083717559</v>
      </c>
      <c r="F27" s="98"/>
      <c r="G27" s="100">
        <f>'P&amp;L'!G27</f>
        <v>0.49135262538780372</v>
      </c>
      <c r="H27" s="98"/>
      <c r="I27" s="100">
        <f>'P&amp;L'!I27</f>
        <v>0.5534420656031166</v>
      </c>
      <c r="J27" s="98"/>
      <c r="K27" s="100">
        <f>'P&amp;L'!K27</f>
        <v>0.42756619677228852</v>
      </c>
    </row>
    <row r="28" spans="1:11">
      <c r="B28" s="98"/>
      <c r="C28" s="99"/>
      <c r="D28" s="98"/>
      <c r="E28" s="99"/>
      <c r="F28" s="98"/>
      <c r="G28" s="99"/>
      <c r="H28" s="98"/>
      <c r="I28" s="99"/>
      <c r="J28" s="98"/>
      <c r="K28" s="99"/>
    </row>
    <row r="29" spans="1:11">
      <c r="A29" s="71" t="s">
        <v>33</v>
      </c>
      <c r="B29" s="71"/>
      <c r="C29" s="71"/>
      <c r="D29" s="71"/>
      <c r="E29" s="71"/>
      <c r="F29" s="71"/>
      <c r="G29" s="71"/>
      <c r="H29" s="71"/>
      <c r="I29" s="71"/>
      <c r="J29" s="71"/>
      <c r="K29" s="71"/>
    </row>
    <row r="30" spans="1:11">
      <c r="A30" s="37" t="s">
        <v>34</v>
      </c>
      <c r="B30" s="98"/>
      <c r="C30" s="37">
        <v>25</v>
      </c>
      <c r="D30" s="98"/>
      <c r="E30" s="37">
        <v>24</v>
      </c>
      <c r="F30" s="9"/>
      <c r="G30" s="37">
        <v>23</v>
      </c>
      <c r="H30" s="9"/>
      <c r="I30" s="36">
        <v>22</v>
      </c>
      <c r="J30" s="9"/>
      <c r="K30" s="36">
        <v>21</v>
      </c>
    </row>
    <row r="31" spans="1:11">
      <c r="A31" s="85" t="s">
        <v>35</v>
      </c>
      <c r="B31" s="98"/>
      <c r="C31" s="316"/>
      <c r="D31" s="98"/>
      <c r="E31" s="96">
        <f>E16/G11</f>
        <v>4.1940488301119023</v>
      </c>
      <c r="F31" s="98"/>
      <c r="G31" s="96">
        <f>G16/I11</f>
        <v>4.862247094274645</v>
      </c>
      <c r="H31" s="98"/>
      <c r="I31" s="96">
        <f>I16/K11</f>
        <v>3.0728643216080402</v>
      </c>
      <c r="J31" s="98"/>
      <c r="K31" s="96"/>
    </row>
    <row r="32" spans="1:11">
      <c r="A32" s="85" t="s">
        <v>22</v>
      </c>
      <c r="B32" s="98"/>
      <c r="C32" s="314"/>
      <c r="D32" s="98"/>
      <c r="E32" s="96">
        <f>E17/E$11</f>
        <v>4.076787954830615</v>
      </c>
      <c r="F32" s="98"/>
      <c r="G32" s="96">
        <f>G17/G$11</f>
        <v>2.8934384537131228</v>
      </c>
      <c r="H32" s="98"/>
      <c r="I32" s="96">
        <f>I17/I$11</f>
        <v>2.9944037882049073</v>
      </c>
      <c r="J32" s="98"/>
      <c r="K32" s="96">
        <f>K17/K$11</f>
        <v>4.8760469011725291</v>
      </c>
    </row>
    <row r="33" spans="1:11">
      <c r="A33" s="85" t="s">
        <v>23</v>
      </c>
      <c r="B33" s="98"/>
      <c r="C33" s="314"/>
      <c r="D33" s="98"/>
      <c r="E33" s="96">
        <f>E18/E$11</f>
        <v>3.8579673776662484</v>
      </c>
      <c r="F33" s="98"/>
      <c r="G33" s="96">
        <f>G18/G$11</f>
        <v>2.9771108850457781</v>
      </c>
      <c r="H33" s="98"/>
      <c r="I33" s="96">
        <f>I18/I$11</f>
        <v>3.0817907877744295</v>
      </c>
      <c r="J33" s="98"/>
      <c r="K33" s="96">
        <f>K18/K$11</f>
        <v>4.8224455611390287</v>
      </c>
    </row>
    <row r="34" spans="1:11">
      <c r="A34" s="85" t="s">
        <v>24</v>
      </c>
      <c r="B34" s="98"/>
      <c r="C34" s="314"/>
      <c r="D34" s="98"/>
      <c r="E34" s="96">
        <f>E19/E$11</f>
        <v>3.8649937264742786</v>
      </c>
      <c r="F34" s="98"/>
      <c r="G34" s="96">
        <f>G19/G$11</f>
        <v>2.6482706002034586</v>
      </c>
      <c r="H34" s="98"/>
      <c r="I34" s="96">
        <f>I19/I$11</f>
        <v>3.1209642703400773</v>
      </c>
      <c r="J34" s="98"/>
      <c r="K34" s="96">
        <f>K19/K$11</f>
        <v>4.6892797319933006</v>
      </c>
    </row>
    <row r="35" spans="1:11">
      <c r="A35" s="85" t="s">
        <v>36</v>
      </c>
      <c r="B35" s="98"/>
      <c r="C35" s="96">
        <f>((1-C24)*(1+C25))/(C23-C25)</f>
        <v>2.2723794094793948</v>
      </c>
      <c r="D35" s="98"/>
      <c r="E35" s="96">
        <f>((1-E24)*(1+E25))/(E23-E25)</f>
        <v>3.0593014719382881</v>
      </c>
      <c r="F35" s="98"/>
      <c r="G35" s="96">
        <f>((1-G24)*(1+G25))/(G23-G25)</f>
        <v>2.5434126203280809</v>
      </c>
      <c r="H35" s="98"/>
      <c r="I35" s="96">
        <f>((1-I24)*(1+I25))/(I23-I25)</f>
        <v>2.2197033555888641</v>
      </c>
      <c r="J35" s="98"/>
      <c r="K35" s="96">
        <f>((1-K24)*(1+K25))/(K23-K25)</f>
        <v>2.4036865885227847</v>
      </c>
    </row>
    <row r="36" spans="1:11">
      <c r="A36" s="85" t="s">
        <v>37</v>
      </c>
      <c r="B36" s="98"/>
      <c r="C36" s="96">
        <f>(1-C24)/(C23-C25)</f>
        <v>2.1143229795071523</v>
      </c>
      <c r="D36" s="98"/>
      <c r="E36" s="96">
        <f>(1-E24)/(E23-E25)</f>
        <v>2.8239709161422897</v>
      </c>
      <c r="F36" s="98"/>
      <c r="G36" s="96">
        <f>(1-G24)/(G23-G25)</f>
        <v>2.2736045650642844</v>
      </c>
      <c r="H36" s="98"/>
      <c r="I36" s="96">
        <f>(1-I24)/(I23-I25)</f>
        <v>2.0446441361490639</v>
      </c>
      <c r="J36" s="98"/>
      <c r="K36" s="96">
        <f>(1-K24)/(K23-K25)</f>
        <v>2.2136394693186001</v>
      </c>
    </row>
    <row r="37" spans="1:11">
      <c r="B37" s="98"/>
      <c r="C37" s="99"/>
      <c r="D37" s="98"/>
      <c r="E37" s="99"/>
      <c r="F37" s="98"/>
      <c r="G37" s="99"/>
      <c r="H37" s="98"/>
      <c r="I37" s="99"/>
      <c r="J37" s="98"/>
      <c r="K37" s="99"/>
    </row>
    <row r="38" spans="1:11" ht="13.15" customHeight="1">
      <c r="A38" s="37" t="s">
        <v>38</v>
      </c>
      <c r="B38" s="98"/>
      <c r="C38" s="37">
        <v>25</v>
      </c>
      <c r="D38" s="98"/>
      <c r="E38" s="37">
        <v>24</v>
      </c>
      <c r="F38" s="9"/>
      <c r="G38" s="37">
        <v>23</v>
      </c>
      <c r="H38" s="9"/>
      <c r="I38" s="36">
        <v>22</v>
      </c>
      <c r="J38" s="9"/>
      <c r="K38" s="36">
        <v>21</v>
      </c>
    </row>
    <row r="39" spans="1:11" ht="13.15" customHeight="1">
      <c r="A39" s="85" t="s">
        <v>39</v>
      </c>
      <c r="B39" s="98"/>
      <c r="C39" s="316"/>
      <c r="D39" s="98"/>
      <c r="E39" s="96">
        <f>E16/G12</f>
        <v>0.66088774318426236</v>
      </c>
      <c r="F39" s="98"/>
      <c r="G39" s="96">
        <f>G16/I12</f>
        <v>0.58129211611852283</v>
      </c>
      <c r="H39" s="98"/>
      <c r="I39" s="96">
        <f>I16/K12</f>
        <v>0.37942540303797084</v>
      </c>
      <c r="J39" s="98"/>
      <c r="K39" s="96"/>
    </row>
    <row r="40" spans="1:11">
      <c r="A40" s="85" t="s">
        <v>22</v>
      </c>
      <c r="B40" s="98"/>
      <c r="C40" s="314"/>
      <c r="D40" s="98"/>
      <c r="E40" s="96">
        <f>E17/E$12</f>
        <v>0.58010195130067954</v>
      </c>
      <c r="F40" s="98"/>
      <c r="G40" s="96">
        <f>G17/G$12</f>
        <v>0.45594080736203701</v>
      </c>
      <c r="H40" s="98"/>
      <c r="I40" s="96">
        <f>I17/I$12</f>
        <v>0.35798742449937537</v>
      </c>
      <c r="J40" s="98"/>
      <c r="K40" s="96">
        <f>K17/K$12</f>
        <v>0.60207541468712622</v>
      </c>
    </row>
    <row r="41" spans="1:11">
      <c r="A41" s="85" t="s">
        <v>23</v>
      </c>
      <c r="B41" s="98"/>
      <c r="C41" s="314"/>
      <c r="D41" s="98"/>
      <c r="E41" s="96">
        <f t="shared" ref="E41:G42" si="0">E18/E$12</f>
        <v>0.5489651236794687</v>
      </c>
      <c r="F41" s="98"/>
      <c r="G41" s="96">
        <f t="shared" si="0"/>
        <v>0.46912570018282546</v>
      </c>
      <c r="H41" s="98"/>
      <c r="I41" s="96">
        <f>I18/I$12</f>
        <v>0.36843472857835369</v>
      </c>
      <c r="J41" s="98"/>
      <c r="K41" s="96">
        <f>K18/K$12</f>
        <v>0.59545692850712351</v>
      </c>
    </row>
    <row r="42" spans="1:11">
      <c r="A42" s="85" t="s">
        <v>24</v>
      </c>
      <c r="B42" s="98"/>
      <c r="C42" s="314"/>
      <c r="D42" s="98"/>
      <c r="E42" s="96">
        <f t="shared" si="0"/>
        <v>0.54996493007097547</v>
      </c>
      <c r="F42" s="98"/>
      <c r="G42" s="96">
        <f t="shared" si="0"/>
        <v>0.41730786912726475</v>
      </c>
      <c r="H42" s="98"/>
      <c r="I42" s="96">
        <f>I19/I$12</f>
        <v>0.37311800282065433</v>
      </c>
      <c r="J42" s="98"/>
      <c r="K42" s="96">
        <f>K19/K$12</f>
        <v>0.57901412690367915</v>
      </c>
    </row>
    <row r="43" spans="1:11">
      <c r="A43" s="85" t="s">
        <v>36</v>
      </c>
      <c r="B43" s="98"/>
      <c r="C43" s="96">
        <f>(C26-C25)/(C23-C25)</f>
        <v>0.23361895099111696</v>
      </c>
      <c r="D43" s="98"/>
      <c r="E43" s="96">
        <f>(E26-E25)/(E23-E25)</f>
        <v>0.3973696037487523</v>
      </c>
      <c r="F43" s="98"/>
      <c r="G43" s="96">
        <f>(G26-G25)/(G23-G25)</f>
        <v>0.35877080598486588</v>
      </c>
      <c r="H43" s="98"/>
      <c r="I43" s="96">
        <f>(I26-I25)/(I23-I25)</f>
        <v>0.24676126623704822</v>
      </c>
      <c r="J43" s="98"/>
      <c r="K43" s="96">
        <f>(K26-K25)/(K23-K25)</f>
        <v>0.2770650309277124</v>
      </c>
    </row>
    <row r="44" spans="1:11">
      <c r="B44" s="98"/>
      <c r="C44" s="99"/>
      <c r="D44" s="98"/>
      <c r="E44" s="99"/>
      <c r="F44" s="98"/>
      <c r="G44" s="99"/>
      <c r="H44" s="98"/>
      <c r="I44" s="99"/>
      <c r="J44" s="98"/>
      <c r="K44" s="99"/>
    </row>
    <row r="45" spans="1:11">
      <c r="A45" s="37" t="s">
        <v>40</v>
      </c>
      <c r="B45" s="98"/>
      <c r="C45" s="37">
        <v>25</v>
      </c>
      <c r="D45" s="98"/>
      <c r="E45" s="37">
        <v>24</v>
      </c>
      <c r="F45" s="9"/>
      <c r="G45" s="37">
        <v>23</v>
      </c>
      <c r="H45" s="9"/>
      <c r="I45" s="36">
        <v>22</v>
      </c>
      <c r="J45" s="9"/>
      <c r="K45" s="36">
        <v>21</v>
      </c>
    </row>
    <row r="46" spans="1:11" ht="13.15" customHeight="1">
      <c r="A46" s="85" t="s">
        <v>41</v>
      </c>
      <c r="B46" s="98"/>
      <c r="C46" s="316"/>
      <c r="D46" s="98"/>
      <c r="E46" s="96">
        <f>E16/G13</f>
        <v>0.3395805920343567</v>
      </c>
      <c r="F46" s="98"/>
      <c r="G46" s="96">
        <f>G16/I13</f>
        <v>0.37991410096096612</v>
      </c>
      <c r="H46" s="98"/>
      <c r="I46" s="96">
        <f>I16/K13</f>
        <v>0.41043269256690962</v>
      </c>
      <c r="J46" s="98"/>
      <c r="K46" s="96"/>
    </row>
    <row r="47" spans="1:11">
      <c r="A47" s="85" t="s">
        <v>22</v>
      </c>
      <c r="B47" s="98"/>
      <c r="C47" s="314"/>
      <c r="D47" s="98"/>
      <c r="E47" s="96">
        <f>E17/E$13</f>
        <v>0.29304856932073348</v>
      </c>
      <c r="F47" s="98"/>
      <c r="G47" s="96">
        <f>G17/G$13</f>
        <v>0.23427374904947401</v>
      </c>
      <c r="H47" s="98"/>
      <c r="I47" s="96">
        <f>I17/I$13</f>
        <v>0.23396923296011335</v>
      </c>
      <c r="J47" s="98"/>
      <c r="K47" s="96">
        <f>K17/K$13</f>
        <v>0.65127804200723571</v>
      </c>
    </row>
    <row r="48" spans="1:11">
      <c r="A48" s="85" t="s">
        <v>23</v>
      </c>
      <c r="B48" s="98"/>
      <c r="C48" s="314"/>
      <c r="D48" s="98"/>
      <c r="E48" s="96">
        <f t="shared" ref="E48:G49" si="1">E18/E$13</f>
        <v>0.27731926041714616</v>
      </c>
      <c r="F48" s="98"/>
      <c r="G48" s="96">
        <f t="shared" si="1"/>
        <v>0.24104847555358558</v>
      </c>
      <c r="H48" s="98"/>
      <c r="I48" s="96">
        <f>I18/I$13</f>
        <v>0.24079725974143926</v>
      </c>
      <c r="J48" s="98"/>
      <c r="K48" s="96">
        <f>K18/K$13</f>
        <v>0.64411868187524268</v>
      </c>
    </row>
    <row r="49" spans="1:11">
      <c r="A49" s="85" t="s">
        <v>24</v>
      </c>
      <c r="B49" s="98"/>
      <c r="C49" s="314"/>
      <c r="D49" s="98"/>
      <c r="E49" s="96">
        <f t="shared" si="1"/>
        <v>0.27782432996909617</v>
      </c>
      <c r="F49" s="98"/>
      <c r="G49" s="96">
        <f t="shared" si="1"/>
        <v>0.21442318263621105</v>
      </c>
      <c r="H49" s="98"/>
      <c r="I49" s="96">
        <f>I19/I$13</f>
        <v>0.2438580993330681</v>
      </c>
      <c r="J49" s="98"/>
      <c r="K49" s="96">
        <f>K19/K$13</f>
        <v>0.62633214654732272</v>
      </c>
    </row>
    <row r="50" spans="1:11">
      <c r="A50" s="85" t="s">
        <v>36</v>
      </c>
      <c r="B50" s="98"/>
      <c r="C50" s="96">
        <f>C35*C65*C67*C69</f>
        <v>0.18780208917654928</v>
      </c>
      <c r="D50" s="98"/>
      <c r="E50" s="96">
        <f>E35*E65*E67*E69</f>
        <v>0.21746630654116123</v>
      </c>
      <c r="F50" s="98"/>
      <c r="G50" s="96">
        <f>G35*G65*G67*G69</f>
        <v>0.20622159864483408</v>
      </c>
      <c r="H50" s="98"/>
      <c r="I50" s="96">
        <f>I35*I65*I67*I69</f>
        <v>0.17508348306828972</v>
      </c>
      <c r="J50" s="98"/>
      <c r="K50" s="96">
        <f>K35*K65*K67*K69</f>
        <v>0.32543796013454229</v>
      </c>
    </row>
    <row r="51" spans="1:11">
      <c r="A51" s="85" t="s">
        <v>37</v>
      </c>
      <c r="B51" s="98"/>
      <c r="C51" s="96">
        <f>C36*C65*C67*C69</f>
        <v>0.17473942559460168</v>
      </c>
      <c r="D51" s="98"/>
      <c r="E51" s="96">
        <f>E36*E65*E67*E69</f>
        <v>0.2007381523351586</v>
      </c>
      <c r="F51" s="98"/>
      <c r="G51" s="96">
        <f>G36*G65*G67*G69</f>
        <v>0.1843453808266742</v>
      </c>
      <c r="H51" s="98"/>
      <c r="I51" s="96">
        <f>I36*I65*I67*I69</f>
        <v>0.16127534163102764</v>
      </c>
      <c r="J51" s="98"/>
      <c r="K51" s="96">
        <f>K36*K65*K67*K69</f>
        <v>0.2997072566815327</v>
      </c>
    </row>
    <row r="53" spans="1:11">
      <c r="A53" s="71" t="s">
        <v>42</v>
      </c>
      <c r="B53" s="71"/>
      <c r="C53" s="71"/>
      <c r="D53" s="71"/>
      <c r="E53" s="71"/>
      <c r="F53" s="71"/>
      <c r="G53" s="71"/>
      <c r="H53" s="71"/>
      <c r="I53" s="71"/>
      <c r="J53" s="71"/>
      <c r="K53" s="71"/>
    </row>
    <row r="54" spans="1:11" ht="13.9" customHeight="1">
      <c r="A54" s="38" t="s">
        <v>43</v>
      </c>
      <c r="B54" s="3"/>
      <c r="C54" s="322">
        <f>C14/(C23-C25)</f>
        <v>71.604794005167776</v>
      </c>
      <c r="D54" s="3"/>
      <c r="E54" s="322">
        <f>E14/(E23-E25)</f>
        <v>112.53524100827023</v>
      </c>
      <c r="F54" s="3"/>
      <c r="G54" s="322">
        <f>G14/(G23-G25)</f>
        <v>89.398131498327658</v>
      </c>
      <c r="H54" s="3"/>
      <c r="I54" s="322">
        <f>I14/(I23-I25)</f>
        <v>47.497083282742757</v>
      </c>
      <c r="J54" s="3"/>
      <c r="K54" s="322">
        <f>K14/(K23-K25)</f>
        <v>52.861710527328178</v>
      </c>
    </row>
    <row r="55" spans="1:11" ht="13.9" customHeight="1">
      <c r="A55" s="8"/>
      <c r="B55" s="3"/>
      <c r="C55" s="323"/>
      <c r="D55" s="3"/>
      <c r="E55" s="323"/>
      <c r="F55" s="3"/>
      <c r="G55" s="323"/>
      <c r="H55" s="3"/>
      <c r="I55" s="323"/>
      <c r="J55" s="3"/>
      <c r="K55" s="323"/>
    </row>
    <row r="56" spans="1:11">
      <c r="A56" s="71" t="s">
        <v>44</v>
      </c>
      <c r="B56" s="71"/>
      <c r="C56" s="71"/>
      <c r="D56" s="71"/>
      <c r="E56" s="71"/>
      <c r="F56" s="71"/>
      <c r="G56" s="71"/>
      <c r="H56" s="71"/>
      <c r="I56" s="71"/>
      <c r="J56" s="71"/>
      <c r="K56" s="71"/>
    </row>
    <row r="57" spans="1:11" ht="13.9" customHeight="1">
      <c r="A57" s="38" t="s">
        <v>10</v>
      </c>
      <c r="B57" s="3"/>
      <c r="C57" s="73">
        <f>C9</f>
        <v>49883120.960549109</v>
      </c>
      <c r="D57" s="3"/>
      <c r="E57" s="73">
        <f>E9</f>
        <v>57804659</v>
      </c>
      <c r="F57" s="3"/>
      <c r="G57" s="73">
        <f>G9</f>
        <v>57757416</v>
      </c>
      <c r="H57" s="3"/>
      <c r="I57" s="73">
        <f>I9</f>
        <v>34398330</v>
      </c>
      <c r="J57" s="3"/>
      <c r="K57" s="73">
        <f>K9</f>
        <v>35506873</v>
      </c>
    </row>
    <row r="58" spans="1:11" ht="13.9" customHeight="1">
      <c r="A58" s="38" t="s">
        <v>45</v>
      </c>
      <c r="B58" s="3"/>
      <c r="C58" s="73">
        <f>C23*E4</f>
        <v>93552043.634024262</v>
      </c>
      <c r="D58" s="3"/>
      <c r="E58" s="73">
        <f>E23*G4</f>
        <v>83354768.682081699</v>
      </c>
      <c r="F58" s="3"/>
      <c r="G58" s="73">
        <f>G23*I4</f>
        <v>64908707.14696341</v>
      </c>
      <c r="H58" s="3"/>
      <c r="I58" s="73">
        <f>I23*K4</f>
        <v>64604453.902498305</v>
      </c>
      <c r="J58" s="3"/>
      <c r="K58" s="73">
        <f>K23*SOFP!N25</f>
        <v>60461874.810865231</v>
      </c>
    </row>
    <row r="59" spans="1:11" ht="13.9" customHeight="1">
      <c r="A59" s="38" t="s">
        <v>44</v>
      </c>
      <c r="B59" s="3"/>
      <c r="C59" s="73">
        <f>C57-C58</f>
        <v>-43668922.673475154</v>
      </c>
      <c r="D59" s="3"/>
      <c r="E59" s="73">
        <f>E57-E58</f>
        <v>-25550109.682081699</v>
      </c>
      <c r="F59" s="3"/>
      <c r="G59" s="73">
        <f>G57-G58</f>
        <v>-7151291.1469634101</v>
      </c>
      <c r="H59" s="3"/>
      <c r="I59" s="73">
        <f>I57-I58</f>
        <v>-30206123.902498305</v>
      </c>
      <c r="J59" s="3"/>
      <c r="K59" s="73">
        <f>K57-K58</f>
        <v>-24955001.810865231</v>
      </c>
    </row>
    <row r="60" spans="1:11">
      <c r="C60" s="63"/>
      <c r="E60" s="63"/>
      <c r="G60" s="63"/>
      <c r="I60" s="63"/>
      <c r="K60" s="63"/>
    </row>
    <row r="61" spans="1:11">
      <c r="A61" s="71" t="s">
        <v>46</v>
      </c>
      <c r="B61" s="71"/>
      <c r="C61" s="71"/>
      <c r="D61" s="71"/>
      <c r="E61" s="71"/>
      <c r="F61" s="71"/>
      <c r="G61" s="71"/>
      <c r="H61" s="71"/>
      <c r="I61" s="71"/>
      <c r="J61" s="71"/>
      <c r="K61" s="71"/>
    </row>
    <row r="62" spans="1:11" ht="13.15" customHeight="1">
      <c r="A62" s="39" t="s">
        <v>47</v>
      </c>
      <c r="C62" s="69">
        <f>C9/C4</f>
        <v>0.11049350229621654</v>
      </c>
      <c r="E62" s="69">
        <f>E9/E4</f>
        <v>0.14071306523637375</v>
      </c>
      <c r="G62" s="69">
        <f>G9/G4</f>
        <v>0.15779824314995688</v>
      </c>
      <c r="I62" s="69">
        <f>I9/I4</f>
        <v>0.12068665733774328</v>
      </c>
      <c r="K62" s="69">
        <f>K9/K4</f>
        <v>0.12516267204659048</v>
      </c>
    </row>
    <row r="63" spans="1:11">
      <c r="A63" s="29" t="s">
        <v>48</v>
      </c>
      <c r="C63" s="70">
        <f>C65*C67*C69*C71*C73</f>
        <v>0.11049350229621654</v>
      </c>
      <c r="E63" s="70">
        <f>E65*E67*E69*E71*E73</f>
        <v>0.14071306523637378</v>
      </c>
      <c r="G63" s="70">
        <f>G65*G67*G69*G71*G73</f>
        <v>0.15779824314995688</v>
      </c>
      <c r="I63" s="70">
        <f>I65*I67*I69*I71*I73</f>
        <v>0.12068665733774329</v>
      </c>
      <c r="K63" s="70">
        <f>K65*K67*K69*K71*K73</f>
        <v>0.12516267204659046</v>
      </c>
    </row>
    <row r="64" spans="1:11">
      <c r="A64" s="28" t="s">
        <v>49</v>
      </c>
      <c r="C64" s="27"/>
      <c r="E64" s="27"/>
      <c r="G64" s="27"/>
      <c r="I64" s="27"/>
      <c r="K64" s="27"/>
    </row>
    <row r="65" spans="1:11">
      <c r="A65" s="28" t="s">
        <v>50</v>
      </c>
      <c r="C65" s="66">
        <f>C9/C8</f>
        <v>0.45999999999999991</v>
      </c>
      <c r="E65" s="66">
        <f>E9/E8</f>
        <v>0.48036694916282446</v>
      </c>
      <c r="G65" s="66">
        <f>G9/G8</f>
        <v>0.50864737461219622</v>
      </c>
      <c r="I65" s="66">
        <f>I9/I8</f>
        <v>0.44655793439688346</v>
      </c>
      <c r="K65" s="66">
        <f>K9/K8</f>
        <v>0.57243380322771142</v>
      </c>
    </row>
    <row r="66" spans="1:11">
      <c r="A66" s="27" t="s">
        <v>51</v>
      </c>
      <c r="C66" s="27"/>
      <c r="E66" s="27"/>
      <c r="G66" s="27"/>
      <c r="I66" s="27"/>
      <c r="K66" s="27"/>
    </row>
    <row r="67" spans="1:11">
      <c r="A67" s="43" t="s">
        <v>52</v>
      </c>
      <c r="C67" s="66">
        <f>C8/C7</f>
        <v>0.85246837660608921</v>
      </c>
      <c r="E67" s="66">
        <f>E8/E7</f>
        <v>0.81894569979221254</v>
      </c>
      <c r="G67" s="66">
        <f>G8/G7</f>
        <v>0.89539413062664619</v>
      </c>
      <c r="I67" s="66">
        <f>I8/I7</f>
        <v>0.90081168893627062</v>
      </c>
      <c r="K67" s="66">
        <f>K8/K7</f>
        <v>0.88465944299292465</v>
      </c>
    </row>
    <row r="68" spans="1:11">
      <c r="A68" s="27" t="s">
        <v>53</v>
      </c>
      <c r="C68" s="27"/>
      <c r="E68" s="27"/>
      <c r="G68" s="27"/>
      <c r="I68" s="27"/>
      <c r="K68" s="27"/>
    </row>
    <row r="69" spans="1:11">
      <c r="A69" s="43" t="s">
        <v>54</v>
      </c>
      <c r="C69" s="66">
        <f>C7/C5</f>
        <v>0.21075770699062446</v>
      </c>
      <c r="E69" s="66">
        <f>E7/E5</f>
        <v>0.18069306186467893</v>
      </c>
      <c r="G69" s="66">
        <f>G7/G5</f>
        <v>0.17802716536773769</v>
      </c>
      <c r="I69" s="66">
        <f>I7/I5</f>
        <v>0.19608231062289355</v>
      </c>
      <c r="K69" s="66">
        <f>K7/K5</f>
        <v>0.26735541177448446</v>
      </c>
    </row>
    <row r="70" spans="1:11">
      <c r="A70" s="27" t="s">
        <v>55</v>
      </c>
      <c r="C70" s="27"/>
      <c r="E70" s="27"/>
      <c r="G70" s="27"/>
      <c r="I70" s="27"/>
      <c r="K70" s="27"/>
    </row>
    <row r="71" spans="1:11">
      <c r="A71" s="43" t="s">
        <v>56</v>
      </c>
      <c r="C71" s="67">
        <f>C5/C3</f>
        <v>8.8267288036923894E-2</v>
      </c>
      <c r="E71" s="67">
        <f>E5/E3</f>
        <v>0.13429841813335366</v>
      </c>
      <c r="G71" s="67">
        <f>G5/G3</f>
        <v>0.12871345260540606</v>
      </c>
      <c r="I71" s="67">
        <f>I5/I3</f>
        <v>9.4011481955642351E-2</v>
      </c>
      <c r="K71" s="67">
        <f>K5/K3</f>
        <v>6.07425354843006E-2</v>
      </c>
    </row>
    <row r="72" spans="1:11">
      <c r="A72" s="27" t="s">
        <v>57</v>
      </c>
      <c r="C72" s="27"/>
      <c r="E72" s="27"/>
      <c r="G72" s="27"/>
      <c r="I72" s="27"/>
      <c r="K72" s="27"/>
    </row>
    <row r="73" spans="1:11">
      <c r="A73" s="43" t="s">
        <v>58</v>
      </c>
      <c r="C73" s="68">
        <f>C3/C4</f>
        <v>15.146677632731349</v>
      </c>
      <c r="E73" s="68">
        <f>E3/E4</f>
        <v>14.739875781896885</v>
      </c>
      <c r="G73" s="68">
        <f>G3/G4</f>
        <v>15.120317002986168</v>
      </c>
      <c r="I73" s="68">
        <f>I3/I4</f>
        <v>16.275266955532043</v>
      </c>
      <c r="K73" s="68">
        <f>K3/K4</f>
        <v>15.219190084810801</v>
      </c>
    </row>
    <row r="75" spans="1:11">
      <c r="A75" s="71" t="s">
        <v>59</v>
      </c>
      <c r="B75" s="71"/>
      <c r="C75" s="71"/>
      <c r="D75" s="71"/>
      <c r="E75" s="71"/>
      <c r="F75" s="71"/>
      <c r="G75" s="71"/>
      <c r="H75" s="71"/>
      <c r="I75" s="71"/>
      <c r="J75" s="71"/>
      <c r="K75" s="71"/>
    </row>
    <row r="76" spans="1:11" ht="13.9" customHeight="1">
      <c r="A76" s="38" t="s">
        <v>60</v>
      </c>
      <c r="B76" s="3"/>
      <c r="C76" s="316"/>
      <c r="D76" s="3">
        <v>8.5000000000000006E-2</v>
      </c>
      <c r="E76" s="83">
        <v>0.1348</v>
      </c>
      <c r="F76" s="3">
        <v>0.09</v>
      </c>
      <c r="G76" s="83">
        <v>0.11550000000000001</v>
      </c>
      <c r="H76" s="3">
        <v>0.09</v>
      </c>
      <c r="I76" s="83">
        <v>0.1079</v>
      </c>
      <c r="J76" s="3">
        <v>9.5000000000000001E-2</v>
      </c>
      <c r="K76" s="83">
        <v>0.1153</v>
      </c>
    </row>
    <row r="77" spans="1:11">
      <c r="A77" s="38" t="s">
        <v>61</v>
      </c>
      <c r="B77" s="3"/>
      <c r="C77" s="317"/>
      <c r="D77" s="3">
        <v>0.1</v>
      </c>
      <c r="E77" s="83">
        <v>0.14269999999999999</v>
      </c>
      <c r="F77" s="3">
        <v>0.105</v>
      </c>
      <c r="G77" s="83">
        <v>0.1244</v>
      </c>
      <c r="H77" s="3">
        <v>0.105</v>
      </c>
      <c r="I77" s="83">
        <v>0.1181</v>
      </c>
      <c r="J77" s="3">
        <v>0.11</v>
      </c>
      <c r="K77" s="83">
        <v>0.12280000000000001</v>
      </c>
    </row>
    <row r="78" spans="1:11">
      <c r="A78" s="38" t="s">
        <v>62</v>
      </c>
      <c r="B78" s="3"/>
      <c r="C78" s="317"/>
      <c r="D78" s="3">
        <v>0.125</v>
      </c>
      <c r="E78" s="83">
        <v>0.17699999999999999</v>
      </c>
      <c r="F78" s="3">
        <v>0.13</v>
      </c>
      <c r="G78" s="83">
        <v>0.16009999999999999</v>
      </c>
      <c r="H78" s="3">
        <v>0.13</v>
      </c>
      <c r="I78" s="83">
        <v>0.14829999999999999</v>
      </c>
      <c r="J78" s="3">
        <v>0.13500000000000001</v>
      </c>
      <c r="K78" s="83">
        <v>0.15629999999999999</v>
      </c>
    </row>
    <row r="79" spans="1:11">
      <c r="A79" s="38" t="s">
        <v>63</v>
      </c>
      <c r="B79" s="3"/>
      <c r="C79" s="317"/>
      <c r="D79" s="3">
        <v>0.03</v>
      </c>
      <c r="E79" s="83">
        <f>'Capital Adequacy and Liquidity'!C91</f>
        <v>4.6600000000000003E-2</v>
      </c>
      <c r="F79" s="3">
        <v>0.03</v>
      </c>
      <c r="G79" s="83">
        <f>'Capital Adequacy and Liquidity'!E91</f>
        <v>4.3299999999999998E-2</v>
      </c>
      <c r="H79" s="3">
        <v>0.03</v>
      </c>
      <c r="I79" s="83">
        <f>'Capital Adequacy and Liquidity'!G91</f>
        <v>4.2000000000000003E-2</v>
      </c>
      <c r="J79" s="3">
        <v>0.03</v>
      </c>
      <c r="K79" s="83">
        <f>'Capital Adequacy and Liquidity'!I91</f>
        <v>4.3799999999999999E-2</v>
      </c>
    </row>
    <row r="80" spans="1:11">
      <c r="A80" s="38" t="s">
        <v>64</v>
      </c>
      <c r="B80" s="3"/>
      <c r="C80" s="317"/>
      <c r="D80" s="3"/>
      <c r="E80" s="83">
        <f>'Capital Adequacy and Liquidity'!C96</f>
        <v>2.6697000000000002</v>
      </c>
      <c r="F80" s="3"/>
      <c r="G80" s="83">
        <f>'Capital Adequacy and Liquidity'!E96</f>
        <v>2.7081</v>
      </c>
      <c r="H80" s="3"/>
      <c r="I80" s="83">
        <f>'Capital Adequacy and Liquidity'!G96</f>
        <v>2.5442999999999998</v>
      </c>
      <c r="J80" s="3"/>
      <c r="K80" s="83">
        <f>'Capital Adequacy and Liquidity'!I96</f>
        <v>2.3147000000000002</v>
      </c>
    </row>
    <row r="81" spans="1:11">
      <c r="A81" s="38" t="s">
        <v>65</v>
      </c>
      <c r="B81" s="3"/>
      <c r="C81" s="318"/>
      <c r="D81" s="3"/>
      <c r="E81" s="83">
        <f>'Capital Adequacy and Liquidity'!C100</f>
        <v>1.5207999999999999</v>
      </c>
      <c r="F81" s="3"/>
      <c r="G81" s="83">
        <f>'Capital Adequacy and Liquidity'!E100</f>
        <v>1.5985</v>
      </c>
      <c r="H81" s="3"/>
      <c r="I81" s="83">
        <f>'Capital Adequacy and Liquidity'!G100</f>
        <v>1.4852000000000001</v>
      </c>
      <c r="J81" s="3"/>
      <c r="K81" s="83">
        <f>'Capital Adequacy and Liquidity'!I100</f>
        <v>1.5508999999999999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60F1-7423-4F2E-A0AF-B1207CCF9CF6}">
  <dimension ref="A1:AN145"/>
  <sheetViews>
    <sheetView showGridLines="0" zoomScale="110" zoomScaleNormal="110" workbookViewId="0">
      <pane xSplit="2" ySplit="2" topLeftCell="C3" activePane="bottomRight" state="frozen"/>
      <selection pane="bottomRight" activeCell="D89" sqref="D89"/>
      <selection pane="bottomLeft" activeCell="M43" sqref="M43"/>
      <selection pane="topRight" activeCell="M43" sqref="M43"/>
    </sheetView>
  </sheetViews>
  <sheetFormatPr defaultRowHeight="14.45"/>
  <cols>
    <col min="1" max="1" width="48" bestFit="1" customWidth="1"/>
    <col min="2" max="2" width="3" customWidth="1"/>
    <col min="3" max="3" width="8" customWidth="1"/>
    <col min="4" max="4" width="17.5703125" customWidth="1"/>
    <col min="5" max="5" width="8.140625" bestFit="1" customWidth="1"/>
    <col min="6" max="6" width="16.28515625" style="1" customWidth="1"/>
    <col min="7" max="7" width="8.140625" bestFit="1" customWidth="1"/>
    <col min="8" max="8" width="16.28515625" style="1" customWidth="1"/>
    <col min="9" max="9" width="8.140625" bestFit="1" customWidth="1"/>
    <col min="10" max="10" width="16.140625" bestFit="1" customWidth="1"/>
    <col min="11" max="11" width="8.140625" bestFit="1" customWidth="1"/>
    <col min="12" max="12" width="16.85546875" style="3" customWidth="1"/>
    <col min="13" max="13" width="8.140625" style="142" bestFit="1" customWidth="1"/>
    <col min="14" max="14" width="16.85546875" style="3" customWidth="1"/>
    <col min="15" max="15" width="8.140625" style="142" bestFit="1" customWidth="1"/>
    <col min="16" max="16" width="16.85546875" style="3" customWidth="1"/>
    <col min="17" max="17" width="25.7109375" style="3" bestFit="1" customWidth="1"/>
    <col min="18" max="18" width="15.140625" style="3" bestFit="1" customWidth="1"/>
    <col min="19" max="19" width="15.140625" bestFit="1" customWidth="1"/>
    <col min="20" max="20" width="18.140625" customWidth="1"/>
    <col min="21" max="21" width="15.140625" style="3" bestFit="1" customWidth="1"/>
    <col min="22" max="23" width="15.140625" style="3" customWidth="1"/>
    <col min="24" max="24" width="15.28515625" style="3" bestFit="1" customWidth="1"/>
    <col min="25" max="25" width="15.140625" style="3" bestFit="1" customWidth="1"/>
    <col min="26" max="26" width="11.140625" style="3" customWidth="1"/>
    <col min="27" max="27" width="15.140625" style="3" bestFit="1" customWidth="1"/>
    <col min="28" max="28" width="11.28515625" bestFit="1" customWidth="1"/>
    <col min="29" max="29" width="15.140625" bestFit="1" customWidth="1"/>
    <col min="30" max="30" width="10.140625" style="2" bestFit="1" customWidth="1"/>
    <col min="31" max="31" width="15.140625" style="2" bestFit="1" customWidth="1"/>
    <col min="32" max="36" width="13.7109375" style="2" customWidth="1"/>
  </cols>
  <sheetData>
    <row r="1" spans="1:40">
      <c r="A1" s="33" t="s">
        <v>0</v>
      </c>
      <c r="B1" s="1"/>
      <c r="D1" s="37" t="s">
        <v>1</v>
      </c>
      <c r="F1" s="37" t="s">
        <v>1</v>
      </c>
      <c r="H1" s="37" t="s">
        <v>1</v>
      </c>
      <c r="J1" s="33" t="s">
        <v>1</v>
      </c>
      <c r="L1" s="33" t="s">
        <v>1</v>
      </c>
      <c r="M1" s="143"/>
      <c r="N1" s="33" t="s">
        <v>1</v>
      </c>
      <c r="O1" s="143"/>
      <c r="P1" s="33" t="s">
        <v>1</v>
      </c>
      <c r="Q1" s="1"/>
      <c r="R1" s="1"/>
      <c r="S1" s="1"/>
      <c r="T1" s="1"/>
      <c r="U1" s="1"/>
      <c r="V1" s="1"/>
      <c r="W1" s="1"/>
      <c r="X1"/>
      <c r="Y1"/>
      <c r="Z1"/>
      <c r="AB1" s="3"/>
      <c r="AD1"/>
      <c r="AE1"/>
      <c r="AF1"/>
      <c r="AG1"/>
      <c r="AH1"/>
      <c r="AI1"/>
      <c r="AJ1"/>
      <c r="AK1" s="3"/>
      <c r="AM1" s="2"/>
      <c r="AN1" s="2"/>
    </row>
    <row r="2" spans="1:40">
      <c r="A2" s="33" t="s">
        <v>66</v>
      </c>
      <c r="B2" s="1"/>
      <c r="D2" s="37" t="s">
        <v>3</v>
      </c>
      <c r="E2" s="4"/>
      <c r="F2" s="37">
        <v>24</v>
      </c>
      <c r="G2" s="9"/>
      <c r="H2" s="37">
        <v>23</v>
      </c>
      <c r="I2" s="9"/>
      <c r="J2" s="36">
        <v>22</v>
      </c>
      <c r="K2" s="9"/>
      <c r="L2" s="36">
        <v>21</v>
      </c>
      <c r="M2" s="144"/>
      <c r="N2" s="36">
        <v>20</v>
      </c>
      <c r="O2" s="144"/>
      <c r="P2" s="36">
        <v>19</v>
      </c>
      <c r="Q2" s="1"/>
      <c r="R2" s="4"/>
      <c r="S2" s="3"/>
      <c r="T2" s="4"/>
      <c r="V2" s="4"/>
      <c r="Y2" s="4"/>
      <c r="Z2"/>
      <c r="AA2" s="4"/>
      <c r="AB2" s="3"/>
      <c r="AC2" s="4"/>
      <c r="AD2" s="3"/>
      <c r="AE2" s="4"/>
      <c r="AF2" s="3"/>
      <c r="AG2" s="3"/>
      <c r="AH2" s="3"/>
      <c r="AI2" s="3"/>
      <c r="AJ2" s="3"/>
      <c r="AK2" s="3"/>
      <c r="AM2" s="5"/>
      <c r="AN2" s="5"/>
    </row>
    <row r="3" spans="1:40">
      <c r="A3" s="33" t="s">
        <v>67</v>
      </c>
      <c r="B3" s="9"/>
      <c r="C3" s="4"/>
    </row>
    <row r="4" spans="1:40" s="10" customFormat="1">
      <c r="A4" s="27" t="s">
        <v>68</v>
      </c>
      <c r="B4"/>
      <c r="D4" s="47">
        <f>D$19*D82</f>
        <v>421337487.95256221</v>
      </c>
      <c r="E4" s="58"/>
      <c r="F4" s="47">
        <v>460194916</v>
      </c>
      <c r="G4" s="58"/>
      <c r="H4" s="47">
        <v>547528581</v>
      </c>
      <c r="I4" s="58"/>
      <c r="J4" s="47">
        <v>296015386</v>
      </c>
      <c r="K4" s="58"/>
      <c r="L4" s="47">
        <v>441252246</v>
      </c>
      <c r="M4" s="58"/>
      <c r="N4" s="47">
        <v>375280120</v>
      </c>
      <c r="O4" s="58"/>
      <c r="P4" s="47">
        <v>367593717</v>
      </c>
      <c r="R4" s="11"/>
      <c r="S4" s="12"/>
      <c r="T4" s="13"/>
      <c r="U4" s="12"/>
      <c r="V4" s="13"/>
      <c r="W4" s="12"/>
      <c r="Y4" s="11"/>
      <c r="Z4" s="12"/>
      <c r="AA4" s="11"/>
      <c r="AB4" s="12"/>
      <c r="AC4" s="11"/>
      <c r="AD4" s="12"/>
      <c r="AE4" s="11"/>
      <c r="AF4" s="12"/>
      <c r="AG4" s="11"/>
      <c r="AH4" s="12"/>
      <c r="AI4" s="12"/>
      <c r="AJ4" s="12"/>
      <c r="AL4" s="14"/>
      <c r="AM4" s="15"/>
      <c r="AN4" s="23"/>
    </row>
    <row r="5" spans="1:40" s="10" customFormat="1">
      <c r="A5" s="28" t="s">
        <v>69</v>
      </c>
      <c r="B5"/>
      <c r="D5" s="48">
        <f>D$19*D81</f>
        <v>72808357.568909317</v>
      </c>
      <c r="E5" s="58"/>
      <c r="F5" s="48">
        <v>51324612</v>
      </c>
      <c r="G5" s="58"/>
      <c r="H5" s="48">
        <v>56603548</v>
      </c>
      <c r="I5" s="58"/>
      <c r="J5" s="48">
        <v>41513022</v>
      </c>
      <c r="K5" s="58"/>
      <c r="L5" s="48">
        <v>64438075</v>
      </c>
      <c r="M5" s="58"/>
      <c r="N5" s="48">
        <v>56533829</v>
      </c>
      <c r="O5" s="58"/>
      <c r="P5" s="48">
        <v>41248554</v>
      </c>
      <c r="R5" s="11"/>
      <c r="S5" s="12"/>
      <c r="T5" s="13"/>
      <c r="U5" s="12"/>
      <c r="V5" s="13"/>
      <c r="W5" s="12"/>
      <c r="Y5" s="11"/>
      <c r="Z5" s="12"/>
      <c r="AA5" s="11"/>
      <c r="AB5" s="12"/>
      <c r="AC5" s="11"/>
      <c r="AD5" s="12"/>
      <c r="AE5" s="11"/>
      <c r="AF5" s="12"/>
      <c r="AG5" s="11"/>
      <c r="AH5" s="12"/>
      <c r="AI5" s="12"/>
      <c r="AJ5" s="12"/>
      <c r="AL5" s="14"/>
      <c r="AM5" s="15"/>
      <c r="AN5" s="23"/>
    </row>
    <row r="6" spans="1:40" s="10" customFormat="1">
      <c r="A6" s="28" t="s">
        <v>70</v>
      </c>
      <c r="B6"/>
      <c r="D6" s="48">
        <f>D$19*D80</f>
        <v>158809510.67525908</v>
      </c>
      <c r="E6" s="58"/>
      <c r="F6" s="48">
        <v>84293922</v>
      </c>
      <c r="G6" s="58"/>
      <c r="H6" s="48">
        <v>88598160</v>
      </c>
      <c r="I6" s="58"/>
      <c r="J6" s="48">
        <v>254593287</v>
      </c>
      <c r="K6" s="58"/>
      <c r="L6" s="48">
        <v>93742432</v>
      </c>
      <c r="M6" s="58"/>
      <c r="N6" s="48">
        <v>30154193</v>
      </c>
      <c r="O6" s="58"/>
      <c r="P6" s="48">
        <v>45303199</v>
      </c>
      <c r="R6" s="11"/>
      <c r="S6" s="12"/>
      <c r="T6" s="13"/>
      <c r="U6" s="12"/>
      <c r="V6" s="13"/>
      <c r="W6" s="12"/>
      <c r="Y6" s="11"/>
      <c r="Z6" s="12"/>
      <c r="AA6" s="11"/>
      <c r="AB6" s="12"/>
      <c r="AC6" s="11"/>
      <c r="AD6" s="12"/>
      <c r="AE6" s="11"/>
      <c r="AF6" s="12"/>
      <c r="AG6" s="11"/>
      <c r="AH6" s="12"/>
      <c r="AI6" s="12"/>
      <c r="AJ6" s="12"/>
      <c r="AL6" s="14"/>
      <c r="AM6" s="15"/>
      <c r="AN6" s="23"/>
    </row>
    <row r="7" spans="1:40" s="10" customFormat="1">
      <c r="A7" s="28" t="s">
        <v>71</v>
      </c>
      <c r="B7"/>
      <c r="D7" s="48">
        <f>D$19*D78</f>
        <v>2807667852.7154779</v>
      </c>
      <c r="E7" s="58"/>
      <c r="F7" s="48">
        <v>2528200439</v>
      </c>
      <c r="G7" s="58"/>
      <c r="H7" s="48">
        <v>2562299087</v>
      </c>
      <c r="I7" s="58"/>
      <c r="J7" s="51">
        <v>1948801042</v>
      </c>
      <c r="K7" s="58"/>
      <c r="L7" s="51">
        <v>1948955978</v>
      </c>
      <c r="M7" s="58"/>
      <c r="N7" s="51">
        <v>1948576822</v>
      </c>
      <c r="O7" s="58"/>
      <c r="P7" s="51">
        <v>1379607379</v>
      </c>
      <c r="R7" s="11"/>
      <c r="S7" s="12"/>
      <c r="T7" s="13"/>
      <c r="U7" s="12"/>
      <c r="V7" s="13"/>
      <c r="W7" s="12"/>
      <c r="Y7" s="11"/>
      <c r="Z7" s="12"/>
      <c r="AA7" s="11"/>
      <c r="AB7" s="12"/>
      <c r="AC7" s="11"/>
      <c r="AD7" s="12"/>
      <c r="AE7" s="11"/>
      <c r="AF7" s="12"/>
      <c r="AG7" s="11"/>
      <c r="AH7" s="12"/>
      <c r="AI7" s="12"/>
      <c r="AJ7" s="12"/>
      <c r="AL7" s="14"/>
      <c r="AM7" s="15"/>
      <c r="AN7" s="23"/>
    </row>
    <row r="8" spans="1:40" s="10" customFormat="1">
      <c r="A8" s="28" t="s">
        <v>72</v>
      </c>
      <c r="B8"/>
      <c r="D8" s="48">
        <f>'National Advances'!C25</f>
        <v>2790266147.3560433</v>
      </c>
      <c r="E8" s="58"/>
      <c r="F8" s="48">
        <v>2435434872</v>
      </c>
      <c r="G8" s="58"/>
      <c r="H8" s="48">
        <v>1861344592</v>
      </c>
      <c r="I8" s="58"/>
      <c r="J8" s="51">
        <v>1782497923</v>
      </c>
      <c r="K8" s="58"/>
      <c r="L8" s="51">
        <v>1507047097</v>
      </c>
      <c r="M8" s="58"/>
      <c r="N8" s="51">
        <v>1223510222</v>
      </c>
      <c r="O8" s="58"/>
      <c r="P8" s="51">
        <v>1166956994</v>
      </c>
      <c r="R8" s="11"/>
      <c r="S8" s="12"/>
      <c r="T8" s="13"/>
      <c r="U8" s="12"/>
      <c r="V8" s="13"/>
      <c r="W8" s="12"/>
      <c r="Y8" s="11"/>
      <c r="Z8" s="12"/>
      <c r="AA8" s="11"/>
      <c r="AB8" s="12"/>
      <c r="AC8" s="11"/>
      <c r="AD8" s="12"/>
      <c r="AE8" s="11"/>
      <c r="AF8" s="12"/>
      <c r="AG8" s="11"/>
      <c r="AH8" s="12"/>
      <c r="AI8" s="12"/>
      <c r="AJ8" s="12"/>
      <c r="AL8" s="14"/>
      <c r="AM8" s="15"/>
      <c r="AN8" s="23"/>
    </row>
    <row r="9" spans="1:40" s="10" customFormat="1">
      <c r="A9" s="28" t="s">
        <v>73</v>
      </c>
      <c r="B9"/>
      <c r="C9" s="286">
        <f>AVERAGE(E9,G9,I9,K9,M9)</f>
        <v>0.16000241671733992</v>
      </c>
      <c r="D9" s="48">
        <f>F9*(1+C9)</f>
        <v>151757519.16746894</v>
      </c>
      <c r="E9" s="58">
        <f>F9/H9-1</f>
        <v>0.11587756067862398</v>
      </c>
      <c r="F9" s="48">
        <v>130825175</v>
      </c>
      <c r="G9" s="58">
        <f>H9/J9-1</f>
        <v>0.4095005902989004</v>
      </c>
      <c r="H9" s="48">
        <v>117239722</v>
      </c>
      <c r="I9" s="58">
        <f>J9/L9-1</f>
        <v>0.17068008118485967</v>
      </c>
      <c r="J9" s="25">
        <f>105996430-J10</f>
        <v>83178200</v>
      </c>
      <c r="K9" s="58">
        <f>L9/N9-1</f>
        <v>-1.7739496228859619E-2</v>
      </c>
      <c r="L9" s="25">
        <f>90872737-L10</f>
        <v>71051179</v>
      </c>
      <c r="M9" s="58">
        <f>N9/P9-1</f>
        <v>0.12169334765317519</v>
      </c>
      <c r="N9" s="25">
        <f>89190210-N10</f>
        <v>72334354</v>
      </c>
      <c r="O9" s="58"/>
      <c r="P9" s="25">
        <f>80462410-P10</f>
        <v>64486746</v>
      </c>
      <c r="R9" s="11"/>
      <c r="S9" s="12"/>
      <c r="T9" s="13"/>
      <c r="U9" s="12"/>
      <c r="V9" s="13"/>
      <c r="W9" s="12"/>
      <c r="Y9" s="11"/>
      <c r="Z9" s="12"/>
      <c r="AA9" s="11"/>
      <c r="AB9" s="12"/>
      <c r="AC9" s="11"/>
      <c r="AD9" s="12"/>
      <c r="AE9" s="11"/>
      <c r="AF9" s="12"/>
      <c r="AG9" s="11"/>
      <c r="AH9" s="12"/>
      <c r="AI9" s="12"/>
      <c r="AJ9" s="12"/>
      <c r="AL9" s="14"/>
      <c r="AM9" s="15"/>
      <c r="AN9" s="23"/>
    </row>
    <row r="10" spans="1:40" s="10" customFormat="1">
      <c r="A10" s="28" t="s">
        <v>74</v>
      </c>
      <c r="B10"/>
      <c r="C10" s="286">
        <f>AVERAGE(E10,G10,I10,K10,M10)</f>
        <v>0.11487619052399349</v>
      </c>
      <c r="D10" s="48">
        <f>F10*(1+C10)</f>
        <v>30556548.927405424</v>
      </c>
      <c r="E10" s="58">
        <f>F10/H10-1</f>
        <v>0.11167322963591797</v>
      </c>
      <c r="F10" s="48">
        <v>27408020</v>
      </c>
      <c r="G10" s="58">
        <f>H10/J10-1</f>
        <v>8.0484551168079177E-2</v>
      </c>
      <c r="H10" s="48">
        <v>24654745</v>
      </c>
      <c r="I10" s="58">
        <f>J10/L10-1</f>
        <v>0.15118246507161537</v>
      </c>
      <c r="J10" s="25">
        <v>22818230</v>
      </c>
      <c r="K10" s="58">
        <f>L10/N10-1</f>
        <v>0.17594490603147062</v>
      </c>
      <c r="L10" s="25">
        <v>19821558</v>
      </c>
      <c r="M10" s="58">
        <f>N10/P10-1</f>
        <v>5.5095800712884335E-2</v>
      </c>
      <c r="N10" s="25">
        <v>16855856</v>
      </c>
      <c r="O10" s="58"/>
      <c r="P10" s="25">
        <v>15975664</v>
      </c>
      <c r="R10" s="11"/>
      <c r="S10" s="12"/>
      <c r="T10" s="13"/>
      <c r="U10" s="12"/>
      <c r="V10" s="13"/>
      <c r="W10" s="12"/>
      <c r="Y10" s="11"/>
      <c r="Z10" s="12"/>
      <c r="AA10" s="11"/>
      <c r="AB10" s="12"/>
      <c r="AC10" s="11"/>
      <c r="AD10" s="12"/>
      <c r="AE10" s="11"/>
      <c r="AF10" s="12"/>
      <c r="AG10" s="11"/>
      <c r="AH10" s="12"/>
      <c r="AI10" s="12"/>
      <c r="AJ10" s="12"/>
      <c r="AL10" s="14"/>
      <c r="AM10" s="15"/>
      <c r="AN10" s="23"/>
    </row>
    <row r="11" spans="1:40" s="10" customFormat="1">
      <c r="A11" s="28" t="s">
        <v>75</v>
      </c>
      <c r="B11"/>
      <c r="C11" s="286">
        <f>AVERAGE(E11,G11,I11,K11,M11)</f>
        <v>0.22882222914032918</v>
      </c>
      <c r="D11" s="48">
        <f>F11*(1+C11)</f>
        <v>30534309.287348576</v>
      </c>
      <c r="E11" s="58">
        <f>F11/H11-1</f>
        <v>9.3654979988814446E-2</v>
      </c>
      <c r="F11" s="48">
        <v>24848435</v>
      </c>
      <c r="G11" s="58">
        <f>H11/J11-1</f>
        <v>0.23332408724256593</v>
      </c>
      <c r="H11" s="48">
        <v>22720543</v>
      </c>
      <c r="I11" s="58">
        <f>J11/L11-1</f>
        <v>0.45855163800252963</v>
      </c>
      <c r="J11" s="48">
        <v>18422200</v>
      </c>
      <c r="K11" s="58">
        <f>L11/N11-1</f>
        <v>0.2129665375957468</v>
      </c>
      <c r="L11" s="48">
        <v>12630475</v>
      </c>
      <c r="M11" s="58">
        <f>N11/P11-1</f>
        <v>0.14561390287198916</v>
      </c>
      <c r="N11" s="48">
        <v>10412880</v>
      </c>
      <c r="O11" s="58"/>
      <c r="P11" s="48">
        <v>9089345</v>
      </c>
      <c r="R11" s="11"/>
      <c r="S11" s="12"/>
      <c r="T11" s="13"/>
      <c r="U11" s="12"/>
      <c r="V11" s="13"/>
      <c r="W11" s="12"/>
      <c r="Y11" s="11"/>
      <c r="Z11" s="12"/>
      <c r="AA11" s="11"/>
      <c r="AB11" s="12"/>
      <c r="AC11" s="11"/>
      <c r="AD11" s="12"/>
      <c r="AE11" s="11"/>
      <c r="AF11" s="12"/>
      <c r="AG11" s="11"/>
      <c r="AH11" s="12"/>
      <c r="AI11" s="12"/>
      <c r="AJ11" s="12"/>
      <c r="AL11" s="14"/>
      <c r="AM11" s="15"/>
      <c r="AN11" s="23"/>
    </row>
    <row r="12" spans="1:40" s="10" customFormat="1">
      <c r="A12" s="28" t="s">
        <v>76</v>
      </c>
      <c r="B12"/>
      <c r="D12" s="49">
        <f>F12</f>
        <v>0</v>
      </c>
      <c r="E12" s="58"/>
      <c r="F12" s="49">
        <v>0</v>
      </c>
      <c r="G12" s="58"/>
      <c r="H12" s="48">
        <v>480873</v>
      </c>
      <c r="I12" s="58"/>
      <c r="J12" s="48">
        <v>5797045</v>
      </c>
      <c r="K12" s="58"/>
      <c r="L12" s="49"/>
      <c r="M12" s="58"/>
      <c r="N12" s="49">
        <v>0</v>
      </c>
      <c r="O12" s="58"/>
      <c r="P12" s="49">
        <v>0</v>
      </c>
      <c r="R12" s="11"/>
      <c r="S12" s="12"/>
      <c r="T12" s="13"/>
      <c r="U12" s="12"/>
      <c r="V12" s="13"/>
      <c r="W12" s="12"/>
      <c r="Y12" s="11"/>
      <c r="Z12" s="12"/>
      <c r="AA12" s="11"/>
      <c r="AB12" s="12"/>
      <c r="AC12" s="11"/>
      <c r="AD12" s="12"/>
      <c r="AE12" s="11"/>
      <c r="AF12" s="12"/>
      <c r="AG12" s="11"/>
      <c r="AH12" s="12"/>
      <c r="AI12" s="12"/>
      <c r="AJ12" s="12"/>
      <c r="AL12" s="14"/>
      <c r="AM12" s="15"/>
      <c r="AN12" s="23"/>
    </row>
    <row r="13" spans="1:40" s="10" customFormat="1">
      <c r="A13" s="28" t="s">
        <v>77</v>
      </c>
      <c r="B13"/>
      <c r="C13" s="286">
        <f>AVERAGE(E13,G13,I13,K13,M13)</f>
        <v>0.19758332368696366</v>
      </c>
      <c r="D13" s="48">
        <f>F13*(1+C13)</f>
        <v>374343572.51021379</v>
      </c>
      <c r="E13" s="58">
        <f>F13/H13-1</f>
        <v>0.23609775670446509</v>
      </c>
      <c r="F13" s="48">
        <v>312582486</v>
      </c>
      <c r="G13" s="58">
        <f>H13/J13-1</f>
        <v>0.42631825076584851</v>
      </c>
      <c r="H13" s="48">
        <v>252878451</v>
      </c>
      <c r="I13" s="58">
        <f>J13/L13-1</f>
        <v>0.17627441275696554</v>
      </c>
      <c r="J13" s="48">
        <v>177294549</v>
      </c>
      <c r="K13" s="58">
        <f>L13/N13-1</f>
        <v>0.3060621132225454</v>
      </c>
      <c r="L13" s="48">
        <v>150725500</v>
      </c>
      <c r="M13" s="58">
        <f>N13/P13-1</f>
        <v>-0.15683591501500627</v>
      </c>
      <c r="N13" s="48">
        <v>115404542</v>
      </c>
      <c r="O13" s="58"/>
      <c r="P13" s="48">
        <v>136870799</v>
      </c>
      <c r="R13" s="11"/>
      <c r="S13" s="12"/>
      <c r="T13" s="13"/>
      <c r="U13" s="12"/>
      <c r="V13" s="13"/>
      <c r="W13" s="12"/>
      <c r="Y13" s="11"/>
      <c r="Z13" s="12"/>
      <c r="AA13" s="11"/>
      <c r="AB13" s="12"/>
      <c r="AC13" s="11"/>
      <c r="AD13" s="12"/>
      <c r="AE13" s="11"/>
      <c r="AF13" s="12"/>
      <c r="AG13" s="11"/>
      <c r="AH13" s="12"/>
      <c r="AI13" s="12"/>
      <c r="AJ13" s="12"/>
      <c r="AL13" s="14"/>
      <c r="AM13" s="15"/>
      <c r="AN13" s="23"/>
    </row>
    <row r="14" spans="1:40" s="16" customFormat="1">
      <c r="A14" s="38" t="s">
        <v>4</v>
      </c>
      <c r="B14" s="8"/>
      <c r="D14" s="52">
        <f>SUM(D4:D13)</f>
        <v>6838081306.1606884</v>
      </c>
      <c r="F14" s="52">
        <v>6055112877</v>
      </c>
      <c r="G14" s="8"/>
      <c r="H14" s="50" t="s">
        <v>78</v>
      </c>
      <c r="I14" s="8"/>
      <c r="J14" s="52">
        <v>4638806111</v>
      </c>
      <c r="K14" s="8"/>
      <c r="L14" s="52">
        <v>4317468145</v>
      </c>
      <c r="M14" s="146"/>
      <c r="N14" s="52">
        <v>3849062818</v>
      </c>
      <c r="O14" s="146"/>
      <c r="P14" s="52">
        <v>3227132397</v>
      </c>
      <c r="R14" s="17"/>
      <c r="S14" s="18"/>
      <c r="T14" s="19"/>
      <c r="U14" s="18"/>
      <c r="V14" s="19"/>
      <c r="W14" s="18"/>
      <c r="Y14" s="17"/>
      <c r="Z14" s="18"/>
      <c r="AA14" s="17"/>
      <c r="AB14" s="18"/>
      <c r="AC14" s="17"/>
      <c r="AD14" s="18"/>
      <c r="AE14" s="17"/>
      <c r="AF14" s="18"/>
      <c r="AG14" s="17"/>
      <c r="AH14" s="18"/>
      <c r="AI14" s="18"/>
      <c r="AJ14" s="18"/>
      <c r="AL14" s="20"/>
      <c r="AM14" s="21"/>
      <c r="AN14" s="24"/>
    </row>
    <row r="15" spans="1:40" s="16" customFormat="1">
      <c r="A15" s="8"/>
      <c r="B15" s="8"/>
      <c r="D15" s="17"/>
      <c r="F15" s="17"/>
      <c r="G15" s="8"/>
      <c r="H15" s="17"/>
      <c r="I15" s="8"/>
      <c r="J15" s="17"/>
      <c r="K15" s="8"/>
      <c r="L15" s="17"/>
      <c r="M15" s="147"/>
      <c r="N15" s="17"/>
      <c r="O15" s="147"/>
      <c r="P15" s="17"/>
      <c r="R15" s="17"/>
      <c r="S15" s="18"/>
      <c r="T15" s="19"/>
      <c r="U15" s="18"/>
      <c r="V15" s="13"/>
      <c r="W15" s="12"/>
      <c r="Y15" s="17"/>
      <c r="Z15" s="18"/>
      <c r="AA15" s="17"/>
      <c r="AB15" s="18"/>
      <c r="AC15" s="17"/>
      <c r="AD15" s="18"/>
      <c r="AE15" s="17"/>
      <c r="AF15" s="18"/>
      <c r="AG15" s="17"/>
      <c r="AH15" s="18"/>
      <c r="AI15" s="18"/>
      <c r="AJ15" s="18"/>
      <c r="AL15" s="20"/>
      <c r="AM15" s="15"/>
      <c r="AN15" s="23"/>
    </row>
    <row r="16" spans="1:40" s="10" customFormat="1">
      <c r="A16" s="34" t="s">
        <v>79</v>
      </c>
      <c r="B16" s="8"/>
      <c r="D16" s="14"/>
      <c r="F16" s="14"/>
      <c r="G16" s="8"/>
      <c r="H16" s="14"/>
      <c r="I16" s="8"/>
      <c r="J16" s="14"/>
      <c r="K16" s="8"/>
      <c r="L16" s="14"/>
      <c r="M16" s="148"/>
      <c r="N16" s="14"/>
      <c r="O16" s="148"/>
      <c r="P16" s="14"/>
      <c r="R16" s="11"/>
      <c r="S16" s="12"/>
      <c r="T16" s="12"/>
      <c r="U16" s="12"/>
      <c r="V16" s="13"/>
      <c r="W16" s="12"/>
      <c r="Y16" s="11"/>
      <c r="Z16" s="12"/>
      <c r="AA16" s="12"/>
      <c r="AB16" s="12"/>
      <c r="AC16" s="12"/>
      <c r="AD16" s="12"/>
      <c r="AE16" s="11"/>
      <c r="AF16" s="12"/>
      <c r="AG16" s="11"/>
      <c r="AH16" s="12"/>
      <c r="AI16" s="12"/>
      <c r="AJ16" s="12"/>
      <c r="AL16" s="14"/>
      <c r="AM16" s="15"/>
      <c r="AN16" s="23"/>
    </row>
    <row r="17" spans="1:40" s="10" customFormat="1">
      <c r="A17" s="27" t="s">
        <v>80</v>
      </c>
      <c r="B17"/>
      <c r="C17" s="286">
        <f>AVERAGE(E17,G17,I17,K17,M17)</f>
        <v>8.5733638568006976E-2</v>
      </c>
      <c r="D17" s="53">
        <f>(D$24-SUM(D$19:D$23))*C17</f>
        <v>82201033.687976077</v>
      </c>
      <c r="E17" s="286">
        <f>F17/(F$18+F$17)</f>
        <v>0.10412291140425144</v>
      </c>
      <c r="F17" s="53">
        <v>96104151</v>
      </c>
      <c r="G17" s="286">
        <f>H17/(H$18+H$17)</f>
        <v>7.2132949731297316E-2</v>
      </c>
      <c r="H17" s="53">
        <v>51700823</v>
      </c>
      <c r="I17" s="286">
        <f>J17/(J$18+J$17)</f>
        <v>8.1792682235679051E-2</v>
      </c>
      <c r="J17" s="53">
        <v>52001577</v>
      </c>
      <c r="K17" s="286">
        <f>L17/(L$18+L$17)</f>
        <v>9.1989853392905455E-2</v>
      </c>
      <c r="L17" s="53">
        <v>44196984</v>
      </c>
      <c r="M17" s="286">
        <f>N17/(N$18+N$17)</f>
        <v>7.862979607590162E-2</v>
      </c>
      <c r="N17" s="53">
        <v>46434199</v>
      </c>
      <c r="O17" s="286">
        <f>P17/(P$18+P$17)</f>
        <v>7.2061216223518784E-2</v>
      </c>
      <c r="P17" s="53">
        <v>29681108</v>
      </c>
      <c r="R17" s="11"/>
      <c r="S17" s="12"/>
      <c r="T17" s="13"/>
      <c r="U17" s="12"/>
      <c r="V17" s="13"/>
      <c r="W17" s="12"/>
      <c r="Y17" s="11"/>
      <c r="Z17" s="12"/>
      <c r="AA17" s="11"/>
      <c r="AB17" s="12"/>
      <c r="AC17" s="11"/>
      <c r="AD17" s="12"/>
      <c r="AE17" s="11"/>
      <c r="AF17" s="12"/>
      <c r="AG17" s="11"/>
      <c r="AH17" s="12"/>
      <c r="AI17" s="12"/>
      <c r="AJ17" s="12"/>
      <c r="AL17" s="14"/>
      <c r="AM17" s="15"/>
      <c r="AN17" s="23"/>
    </row>
    <row r="18" spans="1:40" s="10" customFormat="1">
      <c r="A18" s="28" t="s">
        <v>81</v>
      </c>
      <c r="B18"/>
      <c r="C18" s="286">
        <f>AVERAGE(E18,G18,I18,K18,M18)</f>
        <v>0.91426636143199291</v>
      </c>
      <c r="D18" s="54">
        <f>(D$24-SUM(D$19:D$23))*C18</f>
        <v>876594545.98138881</v>
      </c>
      <c r="E18" s="286">
        <f>F18/(F$18+F$17)</f>
        <v>0.89587708859574855</v>
      </c>
      <c r="F18" s="54">
        <v>826883400</v>
      </c>
      <c r="G18" s="286">
        <f>H18/(H$18+H$17)</f>
        <v>0.92786705026870264</v>
      </c>
      <c r="H18" s="54">
        <v>665042679</v>
      </c>
      <c r="I18" s="286">
        <f>J18/(J$18+J$17)</f>
        <v>0.91820731776432096</v>
      </c>
      <c r="J18" s="54">
        <v>583771399</v>
      </c>
      <c r="K18" s="286">
        <f>L18/(L$18+L$17)</f>
        <v>0.90801014660709456</v>
      </c>
      <c r="L18" s="54">
        <v>436258005</v>
      </c>
      <c r="M18" s="286">
        <f>N18/(N$18+N$17)</f>
        <v>0.92137020392409841</v>
      </c>
      <c r="N18" s="54">
        <v>544107826</v>
      </c>
      <c r="O18" s="286">
        <f>P18/(P$18+P$17)</f>
        <v>0.9279387837764812</v>
      </c>
      <c r="P18" s="54">
        <v>382206306</v>
      </c>
      <c r="R18" s="11"/>
      <c r="S18" s="12"/>
      <c r="T18" s="13"/>
      <c r="U18" s="12"/>
      <c r="V18" s="13"/>
      <c r="W18" s="12"/>
      <c r="Y18" s="11"/>
      <c r="Z18" s="12"/>
      <c r="AA18" s="11"/>
      <c r="AB18" s="12"/>
      <c r="AC18" s="11"/>
      <c r="AD18" s="12"/>
      <c r="AE18" s="11"/>
      <c r="AF18" s="12"/>
      <c r="AG18" s="11"/>
      <c r="AH18" s="12"/>
      <c r="AI18" s="12"/>
      <c r="AJ18" s="12"/>
      <c r="AL18" s="14"/>
      <c r="AM18" s="15"/>
      <c r="AN18" s="23"/>
    </row>
    <row r="19" spans="1:40" s="10" customFormat="1">
      <c r="A19" s="28" t="s">
        <v>82</v>
      </c>
      <c r="B19"/>
      <c r="C19" s="11"/>
      <c r="D19" s="54">
        <f>'National Deposits'!C50</f>
        <v>5013692594.1347818</v>
      </c>
      <c r="E19" s="11"/>
      <c r="F19" s="54">
        <v>4370370642</v>
      </c>
      <c r="G19"/>
      <c r="H19" s="54">
        <v>4142351836</v>
      </c>
      <c r="I19"/>
      <c r="J19" s="54">
        <v>3469342252</v>
      </c>
      <c r="K19"/>
      <c r="L19" s="54">
        <v>3381998398</v>
      </c>
      <c r="M19" s="149"/>
      <c r="N19" s="54">
        <v>2830371390</v>
      </c>
      <c r="O19" s="149"/>
      <c r="P19" s="54">
        <v>2437597169</v>
      </c>
      <c r="R19" s="11"/>
      <c r="S19" s="12"/>
      <c r="T19" s="13"/>
      <c r="U19" s="12"/>
      <c r="V19" s="13"/>
      <c r="W19" s="12"/>
      <c r="Y19" s="11"/>
      <c r="Z19" s="12"/>
      <c r="AA19" s="11"/>
      <c r="AB19" s="12"/>
      <c r="AC19" s="11"/>
      <c r="AD19" s="12"/>
      <c r="AE19" s="11"/>
      <c r="AF19" s="12"/>
      <c r="AG19" s="11"/>
      <c r="AH19" s="12"/>
      <c r="AI19" s="12"/>
      <c r="AJ19" s="12"/>
      <c r="AL19" s="14"/>
      <c r="AM19" s="15"/>
      <c r="AN19" s="23"/>
    </row>
    <row r="20" spans="1:40" s="10" customFormat="1">
      <c r="A20" s="28" t="s">
        <v>83</v>
      </c>
      <c r="B20"/>
      <c r="C20" s="286">
        <f>AVERAGE(E20,G20,I20)</f>
        <v>0.17209923079185416</v>
      </c>
      <c r="D20" s="48">
        <f>F20*(1+C20)</f>
        <v>42042298.064195327</v>
      </c>
      <c r="E20" s="58">
        <f>F20/H20-1</f>
        <v>0.17642661429887174</v>
      </c>
      <c r="F20" s="54">
        <v>35869231</v>
      </c>
      <c r="G20" s="58">
        <f>H20/J20-1</f>
        <v>0.12594433593053989</v>
      </c>
      <c r="H20" s="54">
        <v>30489986</v>
      </c>
      <c r="I20" s="58">
        <f>J20/L20-1</f>
        <v>0.21392674214615082</v>
      </c>
      <c r="J20" s="25">
        <v>27079479</v>
      </c>
      <c r="K20" s="58"/>
      <c r="L20" s="25">
        <v>22307342</v>
      </c>
      <c r="M20" s="58"/>
      <c r="N20" s="49"/>
      <c r="O20" s="145"/>
      <c r="P20" s="49"/>
      <c r="R20" s="11"/>
      <c r="S20" s="12"/>
      <c r="T20" s="13"/>
      <c r="U20" s="12"/>
      <c r="V20" s="13"/>
      <c r="W20" s="12"/>
      <c r="Y20" s="11"/>
      <c r="Z20" s="12"/>
      <c r="AA20" s="11"/>
      <c r="AB20" s="12"/>
      <c r="AC20" s="11"/>
      <c r="AD20" s="12"/>
      <c r="AE20" s="11"/>
      <c r="AF20" s="12"/>
      <c r="AG20" s="11"/>
      <c r="AH20" s="12"/>
      <c r="AI20" s="12"/>
      <c r="AJ20" s="12"/>
      <c r="AL20" s="14"/>
      <c r="AM20" s="15"/>
      <c r="AN20" s="23"/>
    </row>
    <row r="21" spans="1:40" s="10" customFormat="1">
      <c r="A21" s="28" t="s">
        <v>84</v>
      </c>
      <c r="B21"/>
      <c r="C21" s="286">
        <f>AVERAGE(E21,G21,I21,K21,M21)</f>
        <v>3.1318129738000522E-2</v>
      </c>
      <c r="D21" s="48">
        <f>F21*(1+C21)</f>
        <v>21012075.575282022</v>
      </c>
      <c r="E21" s="58">
        <f>F21/H21-1</f>
        <v>3.4265698766434927E-2</v>
      </c>
      <c r="F21" s="54">
        <v>20374000</v>
      </c>
      <c r="G21" s="58">
        <f>H21/J21-1</f>
        <v>4.3710925082123486E-2</v>
      </c>
      <c r="H21" s="54">
        <v>19699000</v>
      </c>
      <c r="I21" s="58">
        <f>J21/L21-1</f>
        <v>0.52529497333117825</v>
      </c>
      <c r="J21" s="54">
        <v>18874000</v>
      </c>
      <c r="K21" s="58">
        <f>L21/N21-1</f>
        <v>-0.44650205761316875</v>
      </c>
      <c r="L21" s="54">
        <v>12374000</v>
      </c>
      <c r="M21" s="58">
        <f>N21/P21-1</f>
        <v>-1.7889087656530744E-4</v>
      </c>
      <c r="N21" s="54">
        <v>22356000</v>
      </c>
      <c r="O21" s="149"/>
      <c r="P21" s="54">
        <v>22360000</v>
      </c>
      <c r="R21" s="11"/>
      <c r="S21" s="12"/>
      <c r="T21" s="13"/>
      <c r="U21" s="12"/>
      <c r="V21" s="13"/>
      <c r="W21" s="12"/>
      <c r="Y21" s="11"/>
      <c r="Z21" s="12"/>
      <c r="AA21" s="11"/>
      <c r="AB21" s="12"/>
      <c r="AC21" s="11"/>
      <c r="AD21" s="12"/>
      <c r="AE21" s="11"/>
      <c r="AF21" s="12"/>
      <c r="AG21" s="11"/>
      <c r="AH21" s="12"/>
      <c r="AI21" s="12"/>
      <c r="AJ21" s="12"/>
      <c r="AL21" s="14"/>
      <c r="AM21" s="15"/>
      <c r="AN21" s="23"/>
    </row>
    <row r="22" spans="1:40" s="10" customFormat="1">
      <c r="A22" s="28" t="s">
        <v>85</v>
      </c>
      <c r="B22"/>
      <c r="D22" s="54">
        <f>F22</f>
        <v>7995007</v>
      </c>
      <c r="E22" s="11"/>
      <c r="F22" s="54">
        <v>7995007</v>
      </c>
      <c r="G22" s="11"/>
      <c r="H22" s="26"/>
      <c r="I22" s="11"/>
      <c r="J22" s="26"/>
      <c r="K22" s="11"/>
      <c r="L22" s="54">
        <v>5082602</v>
      </c>
      <c r="M22" s="11"/>
      <c r="N22" s="54">
        <v>10387859</v>
      </c>
      <c r="O22" s="149"/>
      <c r="P22" s="54">
        <v>6189687</v>
      </c>
      <c r="R22" s="11"/>
      <c r="S22" s="12"/>
      <c r="T22" s="13"/>
      <c r="U22" s="12"/>
      <c r="V22" s="13"/>
      <c r="W22" s="12"/>
      <c r="Y22" s="11"/>
      <c r="Z22" s="12"/>
      <c r="AA22" s="11"/>
      <c r="AB22" s="12"/>
      <c r="AC22" s="11"/>
      <c r="AD22" s="12"/>
      <c r="AE22" s="11"/>
      <c r="AF22" s="12"/>
      <c r="AG22" s="11"/>
      <c r="AH22" s="12"/>
      <c r="AI22" s="12"/>
      <c r="AJ22" s="12"/>
      <c r="AL22" s="14"/>
      <c r="AM22" s="15"/>
      <c r="AN22" s="23"/>
    </row>
    <row r="23" spans="1:40" s="10" customFormat="1">
      <c r="A23" s="28" t="s">
        <v>86</v>
      </c>
      <c r="B23"/>
      <c r="C23" s="286">
        <f>AVERAGE(E23,G23,I23,K23,M23)</f>
        <v>0.19659674193296633</v>
      </c>
      <c r="D23" s="54">
        <f>F23*(1+C23)</f>
        <v>343086245.85558939</v>
      </c>
      <c r="E23" s="58">
        <f>F23/H23-1</f>
        <v>0.10683551059717322</v>
      </c>
      <c r="F23" s="54">
        <v>286718352</v>
      </c>
      <c r="G23" s="58">
        <f>H23/J23-1</f>
        <v>0.27786583163140044</v>
      </c>
      <c r="H23" s="54">
        <v>259043326</v>
      </c>
      <c r="I23" s="58">
        <f>J23/L23-1</f>
        <v>0.54080166845574418</v>
      </c>
      <c r="J23" s="25">
        <f>229795069-J20</f>
        <v>202715590</v>
      </c>
      <c r="K23" s="58">
        <f>L23/N23-1</f>
        <v>1.2737365999555772E-2</v>
      </c>
      <c r="L23" s="25">
        <f>153872354-L20</f>
        <v>131565012</v>
      </c>
      <c r="M23" s="58">
        <f>N23/P23-1</f>
        <v>4.4743332980958117E-2</v>
      </c>
      <c r="N23" s="25">
        <v>129910297</v>
      </c>
      <c r="O23" s="173"/>
      <c r="P23" s="25">
        <v>124346615</v>
      </c>
      <c r="R23" s="11"/>
      <c r="S23" s="12"/>
      <c r="T23" s="13"/>
      <c r="U23" s="12"/>
      <c r="V23" s="13"/>
      <c r="W23" s="12"/>
      <c r="Y23" s="11"/>
      <c r="Z23" s="12"/>
      <c r="AA23" s="11"/>
      <c r="AB23" s="12"/>
      <c r="AC23" s="11"/>
      <c r="AD23" s="12"/>
      <c r="AE23" s="11"/>
      <c r="AF23" s="12"/>
      <c r="AG23" s="11"/>
      <c r="AH23" s="12"/>
      <c r="AI23" s="12"/>
      <c r="AJ23" s="12"/>
      <c r="AL23" s="14"/>
      <c r="AM23" s="15"/>
      <c r="AN23" s="23"/>
    </row>
    <row r="24" spans="1:40" s="16" customFormat="1">
      <c r="A24" s="39" t="s">
        <v>87</v>
      </c>
      <c r="B24" s="8"/>
      <c r="D24" s="55">
        <f>D14-D25</f>
        <v>6386623800.2992134</v>
      </c>
      <c r="F24" s="55">
        <v>5644314783</v>
      </c>
      <c r="G24" s="8"/>
      <c r="H24" s="55">
        <v>5168327650</v>
      </c>
      <c r="I24" s="8"/>
      <c r="J24" s="55">
        <v>4353784297</v>
      </c>
      <c r="K24" s="8"/>
      <c r="L24" s="55">
        <v>4033782343</v>
      </c>
      <c r="M24" s="150"/>
      <c r="N24" s="55">
        <v>3583567571</v>
      </c>
      <c r="O24" s="150"/>
      <c r="P24" s="55">
        <v>3002380885</v>
      </c>
      <c r="R24" s="17"/>
      <c r="S24" s="18"/>
      <c r="T24" s="19"/>
      <c r="U24" s="18"/>
      <c r="V24" s="19"/>
      <c r="W24" s="18"/>
      <c r="Y24" s="17"/>
      <c r="Z24" s="18"/>
      <c r="AA24" s="17"/>
      <c r="AB24" s="18"/>
      <c r="AC24" s="17"/>
      <c r="AD24" s="18"/>
      <c r="AE24" s="17"/>
      <c r="AF24" s="18"/>
      <c r="AG24" s="17"/>
      <c r="AH24" s="18"/>
      <c r="AI24" s="18"/>
      <c r="AJ24" s="18"/>
      <c r="AL24" s="20"/>
      <c r="AM24" s="21"/>
      <c r="AN24" s="24"/>
    </row>
    <row r="25" spans="1:40" s="16" customFormat="1">
      <c r="A25" s="29" t="s">
        <v>88</v>
      </c>
      <c r="B25" s="8"/>
      <c r="C25" s="286">
        <f>AVERAGE(E25,G25,I25,K25,M25)</f>
        <v>6.6021078961833915E-2</v>
      </c>
      <c r="D25" s="56">
        <f>D14*C25</f>
        <v>451457505.86147523</v>
      </c>
      <c r="E25" s="287">
        <f>F25/F14</f>
        <v>6.7843176889466922E-2</v>
      </c>
      <c r="F25" s="56">
        <v>410798094</v>
      </c>
      <c r="G25" s="287">
        <f>H25/H14</f>
        <v>6.6136179539258752E-2</v>
      </c>
      <c r="H25" s="56">
        <v>366020653</v>
      </c>
      <c r="I25" s="287">
        <f>J25/J14</f>
        <v>6.144292457581442E-2</v>
      </c>
      <c r="J25" s="56">
        <v>285021814</v>
      </c>
      <c r="K25" s="287">
        <f>L25/L14</f>
        <v>6.5706518837558209E-2</v>
      </c>
      <c r="L25" s="56">
        <v>283685802</v>
      </c>
      <c r="M25" s="287">
        <f>N25/N14</f>
        <v>6.8976594967071286E-2</v>
      </c>
      <c r="N25" s="56">
        <v>265495247</v>
      </c>
      <c r="O25" s="287">
        <f>P25/P14</f>
        <v>6.9644341895898979E-2</v>
      </c>
      <c r="P25" s="56">
        <v>224751512</v>
      </c>
      <c r="R25" s="17"/>
      <c r="S25" s="18"/>
      <c r="T25" s="19"/>
      <c r="U25" s="18"/>
      <c r="V25" s="19"/>
      <c r="W25" s="18"/>
      <c r="Y25" s="17"/>
      <c r="Z25" s="18"/>
      <c r="AA25" s="17"/>
      <c r="AB25" s="18"/>
      <c r="AC25" s="17"/>
      <c r="AD25" s="18"/>
      <c r="AE25" s="17"/>
      <c r="AF25" s="18"/>
      <c r="AG25" s="17"/>
      <c r="AH25" s="18"/>
      <c r="AI25" s="18"/>
      <c r="AJ25" s="18"/>
      <c r="AL25" s="20"/>
      <c r="AM25" s="21"/>
      <c r="AN25" s="24"/>
    </row>
    <row r="26" spans="1:40" s="10" customFormat="1">
      <c r="A26"/>
      <c r="B26"/>
      <c r="D26" s="14"/>
      <c r="F26" s="11"/>
      <c r="G26"/>
      <c r="H26" s="14"/>
      <c r="I26"/>
      <c r="J26" s="14"/>
      <c r="K26"/>
      <c r="L26" s="14"/>
      <c r="M26" s="148"/>
      <c r="N26" s="14"/>
      <c r="O26" s="148"/>
      <c r="P26" s="14"/>
      <c r="R26" s="11"/>
      <c r="S26" s="12"/>
      <c r="T26" s="12"/>
      <c r="U26" s="12"/>
      <c r="V26" s="13"/>
      <c r="W26" s="12"/>
      <c r="Y26" s="11"/>
      <c r="Z26" s="12"/>
      <c r="AA26" s="12"/>
      <c r="AB26" s="12"/>
      <c r="AC26" s="12"/>
      <c r="AD26" s="12"/>
      <c r="AE26" s="11"/>
      <c r="AF26" s="12"/>
      <c r="AG26" s="11"/>
      <c r="AH26" s="12"/>
      <c r="AI26" s="12"/>
      <c r="AJ26" s="12"/>
      <c r="AL26" s="14"/>
      <c r="AM26" s="15"/>
      <c r="AN26" s="23"/>
    </row>
    <row r="27" spans="1:40" s="10" customFormat="1">
      <c r="A27" s="34" t="s">
        <v>89</v>
      </c>
      <c r="B27" s="8"/>
      <c r="D27" s="14"/>
      <c r="F27" s="14"/>
      <c r="G27" s="8"/>
      <c r="H27" s="14"/>
      <c r="I27" s="8"/>
      <c r="J27" s="14"/>
      <c r="K27" s="8"/>
      <c r="L27" s="14"/>
      <c r="M27" s="148"/>
      <c r="N27" s="14"/>
      <c r="O27" s="148"/>
      <c r="P27" s="14"/>
      <c r="R27" s="11"/>
      <c r="S27" s="12"/>
      <c r="T27" s="12"/>
      <c r="U27" s="12"/>
      <c r="V27" s="13"/>
      <c r="W27" s="12"/>
      <c r="Y27" s="11"/>
      <c r="Z27" s="12"/>
      <c r="AA27" s="12"/>
      <c r="AB27" s="12"/>
      <c r="AC27" s="12"/>
      <c r="AD27" s="12"/>
      <c r="AE27" s="11"/>
      <c r="AF27" s="12"/>
      <c r="AG27" s="11"/>
      <c r="AH27" s="12"/>
      <c r="AI27" s="12"/>
      <c r="AJ27" s="12"/>
      <c r="AL27" s="14"/>
      <c r="AM27" s="15"/>
      <c r="AN27" s="23"/>
    </row>
    <row r="28" spans="1:40" s="10" customFormat="1">
      <c r="A28" s="27" t="s">
        <v>90</v>
      </c>
      <c r="B28"/>
      <c r="D28" s="53">
        <f>F28</f>
        <v>14668525</v>
      </c>
      <c r="F28" s="53">
        <v>14668525</v>
      </c>
      <c r="G28"/>
      <c r="H28" s="53">
        <v>14668525</v>
      </c>
      <c r="I28"/>
      <c r="J28" s="53">
        <v>14668525</v>
      </c>
      <c r="K28"/>
      <c r="L28" s="53">
        <v>14668525</v>
      </c>
      <c r="M28" s="149"/>
      <c r="N28" s="53">
        <v>14668525</v>
      </c>
      <c r="O28" s="149"/>
      <c r="P28" s="53">
        <v>14668525</v>
      </c>
      <c r="R28" s="11"/>
      <c r="S28" s="12"/>
      <c r="T28" s="13"/>
      <c r="U28" s="12"/>
      <c r="V28" s="13"/>
      <c r="W28" s="12"/>
      <c r="Y28" s="11"/>
      <c r="Z28" s="12"/>
      <c r="AA28" s="11"/>
      <c r="AB28" s="12"/>
      <c r="AC28" s="11"/>
      <c r="AD28" s="12"/>
      <c r="AE28" s="11"/>
      <c r="AF28" s="12"/>
      <c r="AG28" s="11"/>
      <c r="AH28" s="12"/>
      <c r="AI28" s="12"/>
      <c r="AJ28" s="12"/>
      <c r="AL28" s="14"/>
      <c r="AM28" s="15"/>
      <c r="AN28" s="23"/>
    </row>
    <row r="29" spans="1:40" s="10" customFormat="1">
      <c r="A29" s="28" t="s">
        <v>91</v>
      </c>
      <c r="B29"/>
      <c r="C29" s="286">
        <f>AVERAGE(E29,G29,I29,K29,M29)</f>
        <v>8.381406278851404E-2</v>
      </c>
      <c r="D29" s="54">
        <f>F29*(1+C29)</f>
        <v>106542103.36638521</v>
      </c>
      <c r="E29" s="58">
        <f t="shared" ref="E29:M29" si="0">F29/H29-1</f>
        <v>-2.4822361022660777E-2</v>
      </c>
      <c r="F29" s="54">
        <v>98302935</v>
      </c>
      <c r="G29" s="58">
        <f t="shared" si="0"/>
        <v>0.14849751852917081</v>
      </c>
      <c r="H29" s="54">
        <v>100805157</v>
      </c>
      <c r="I29" s="58">
        <f t="shared" si="0"/>
        <v>7.8596279060290763E-2</v>
      </c>
      <c r="J29" s="54">
        <v>87771332</v>
      </c>
      <c r="K29" s="58">
        <f t="shared" si="0"/>
        <v>0.12924274609268882</v>
      </c>
      <c r="L29" s="54">
        <v>81375519</v>
      </c>
      <c r="M29" s="58">
        <f t="shared" si="0"/>
        <v>8.7556131283080596E-2</v>
      </c>
      <c r="N29" s="54">
        <v>72062025</v>
      </c>
      <c r="O29" s="58"/>
      <c r="P29" s="54">
        <v>66260511</v>
      </c>
      <c r="R29" s="11"/>
      <c r="S29" s="12"/>
      <c r="T29" s="13"/>
      <c r="U29" s="12"/>
      <c r="V29" s="13"/>
      <c r="W29" s="12"/>
      <c r="Y29" s="11"/>
      <c r="Z29" s="12"/>
      <c r="AA29" s="11"/>
      <c r="AB29" s="12"/>
      <c r="AC29" s="11"/>
      <c r="AD29" s="12"/>
      <c r="AE29" s="11"/>
      <c r="AF29" s="12"/>
      <c r="AG29" s="11"/>
      <c r="AH29" s="12"/>
      <c r="AI29" s="12"/>
      <c r="AJ29" s="12"/>
      <c r="AL29" s="14"/>
      <c r="AM29" s="15"/>
      <c r="AN29" s="23"/>
    </row>
    <row r="30" spans="1:40" s="10" customFormat="1">
      <c r="A30" s="28" t="s">
        <v>92</v>
      </c>
      <c r="B30"/>
      <c r="D30" s="54">
        <f>F30</f>
        <v>57370781</v>
      </c>
      <c r="F30" s="54">
        <v>57370781</v>
      </c>
      <c r="G30"/>
      <c r="H30" s="54">
        <v>25857323</v>
      </c>
      <c r="I30"/>
      <c r="J30" s="54">
        <v>1235369</v>
      </c>
      <c r="K30"/>
      <c r="L30" s="54">
        <v>25159371</v>
      </c>
      <c r="M30" s="149"/>
      <c r="N30" s="54">
        <v>36004914</v>
      </c>
      <c r="O30" s="149"/>
      <c r="P30" s="54">
        <v>24875383</v>
      </c>
      <c r="R30" s="11"/>
      <c r="S30" s="12"/>
      <c r="T30" s="13"/>
      <c r="U30" s="12"/>
      <c r="V30" s="13"/>
      <c r="W30" s="12"/>
      <c r="Y30" s="11"/>
      <c r="Z30" s="12"/>
      <c r="AA30" s="11"/>
      <c r="AB30" s="12"/>
      <c r="AC30" s="11"/>
      <c r="AD30" s="12"/>
      <c r="AE30" s="11"/>
      <c r="AF30" s="12"/>
      <c r="AG30" s="11"/>
      <c r="AH30" s="12"/>
      <c r="AI30" s="12"/>
      <c r="AJ30" s="12"/>
      <c r="AL30" s="14"/>
      <c r="AM30" s="15"/>
      <c r="AN30" s="23"/>
    </row>
    <row r="31" spans="1:40" s="10" customFormat="1">
      <c r="A31" s="28" t="s">
        <v>93</v>
      </c>
      <c r="B31"/>
      <c r="D31" s="54">
        <f>D34-SUM(D28:D30)</f>
        <v>272876096.49509001</v>
      </c>
      <c r="F31" s="54">
        <v>238813471</v>
      </c>
      <c r="G31"/>
      <c r="H31" s="54">
        <v>221883756</v>
      </c>
      <c r="I31"/>
      <c r="J31" s="54">
        <v>178467639</v>
      </c>
      <c r="K31"/>
      <c r="L31" s="54">
        <v>158441418</v>
      </c>
      <c r="M31" s="149"/>
      <c r="N31" s="54">
        <v>138208223</v>
      </c>
      <c r="O31" s="149"/>
      <c r="P31" s="54">
        <v>114550097</v>
      </c>
      <c r="R31" s="11"/>
      <c r="S31" s="12"/>
      <c r="T31" s="13"/>
      <c r="U31" s="12"/>
      <c r="V31" s="13"/>
      <c r="W31" s="12"/>
      <c r="Y31" s="11"/>
      <c r="Z31" s="12"/>
      <c r="AA31" s="11"/>
      <c r="AB31" s="12"/>
      <c r="AC31" s="11"/>
      <c r="AD31" s="12"/>
      <c r="AE31" s="11"/>
      <c r="AF31" s="12"/>
      <c r="AG31" s="11"/>
      <c r="AH31" s="12"/>
      <c r="AI31" s="12"/>
      <c r="AJ31" s="12"/>
      <c r="AL31" s="14"/>
      <c r="AM31" s="15"/>
      <c r="AN31" s="23"/>
    </row>
    <row r="32" spans="1:40" s="10" customFormat="1">
      <c r="A32" s="28" t="s">
        <v>94</v>
      </c>
      <c r="B32"/>
      <c r="C32" s="141">
        <f>AVERAGE(E32,G32,I32,K32,M32,O32)</f>
        <v>0.987880539750983</v>
      </c>
      <c r="D32" s="54">
        <f>D34*C32</f>
        <v>445986084.5650667</v>
      </c>
      <c r="E32" s="12">
        <f>F32/F$34</f>
        <v>0.99600197268685475</v>
      </c>
      <c r="F32" s="54">
        <v>409155712</v>
      </c>
      <c r="G32" s="12">
        <f>H32/H$34</f>
        <v>0.99233406099627941</v>
      </c>
      <c r="H32" s="54">
        <v>363214761</v>
      </c>
      <c r="I32" s="12">
        <f>J32/J$34</f>
        <v>0.98989919768035717</v>
      </c>
      <c r="J32" s="54">
        <v>282142865</v>
      </c>
      <c r="K32" s="12">
        <f>L32/L$34</f>
        <v>0.98575547675805075</v>
      </c>
      <c r="L32" s="54">
        <v>279644833</v>
      </c>
      <c r="M32" s="12">
        <f>N32/N$34</f>
        <v>0.98285634092726337</v>
      </c>
      <c r="N32" s="54">
        <v>260943687</v>
      </c>
      <c r="O32" s="12">
        <f>P32/P$34</f>
        <v>0.98043618945709254</v>
      </c>
      <c r="P32" s="54">
        <v>220354516</v>
      </c>
      <c r="R32" s="11"/>
      <c r="S32" s="12"/>
      <c r="T32" s="13"/>
      <c r="U32" s="12"/>
      <c r="V32" s="13"/>
      <c r="W32" s="12"/>
      <c r="Y32" s="11"/>
      <c r="Z32" s="12"/>
      <c r="AA32" s="11"/>
      <c r="AB32" s="12"/>
      <c r="AC32" s="11"/>
      <c r="AD32" s="12"/>
      <c r="AE32" s="11"/>
      <c r="AF32" s="12"/>
      <c r="AG32" s="11"/>
      <c r="AH32" s="12"/>
      <c r="AI32" s="12"/>
      <c r="AJ32" s="12"/>
      <c r="AL32" s="14"/>
      <c r="AM32" s="15"/>
      <c r="AN32" s="23"/>
    </row>
    <row r="33" spans="1:40" s="10" customFormat="1">
      <c r="A33" s="43" t="s">
        <v>95</v>
      </c>
      <c r="B33"/>
      <c r="C33" s="141">
        <f>AVERAGE(E33,G33,I33,K33,M33,O33)</f>
        <v>1.2119460249017E-2</v>
      </c>
      <c r="D33" s="54">
        <f>D34*C33</f>
        <v>5471421.296408508</v>
      </c>
      <c r="E33" s="12">
        <f>F33/F$34</f>
        <v>3.9980273131452262E-3</v>
      </c>
      <c r="F33" s="54">
        <v>1642382</v>
      </c>
      <c r="G33" s="12">
        <f>H33/H$34</f>
        <v>7.6659390037206454E-3</v>
      </c>
      <c r="H33" s="25">
        <v>2805892</v>
      </c>
      <c r="I33" s="12">
        <f>J33/J$34</f>
        <v>1.0100802319642804E-2</v>
      </c>
      <c r="J33" s="54">
        <v>2878949</v>
      </c>
      <c r="K33" s="12">
        <f>L33/L$34</f>
        <v>1.4244523241949204E-2</v>
      </c>
      <c r="L33" s="54">
        <v>4040969</v>
      </c>
      <c r="M33" s="12">
        <f>N33/N$34</f>
        <v>1.7143659072736621E-2</v>
      </c>
      <c r="N33" s="54">
        <v>4551560</v>
      </c>
      <c r="O33" s="12">
        <f>P33/P$34</f>
        <v>1.9563810542907494E-2</v>
      </c>
      <c r="P33" s="54">
        <v>4396996</v>
      </c>
      <c r="R33" s="11"/>
      <c r="S33" s="12"/>
      <c r="T33" s="13"/>
      <c r="U33" s="12"/>
      <c r="V33" s="13"/>
      <c r="W33" s="12"/>
      <c r="Y33" s="11"/>
      <c r="Z33" s="12"/>
      <c r="AA33" s="11"/>
      <c r="AB33" s="12"/>
      <c r="AC33" s="11"/>
      <c r="AD33" s="12"/>
      <c r="AE33" s="11"/>
      <c r="AF33" s="12"/>
      <c r="AG33" s="11"/>
      <c r="AH33" s="12"/>
      <c r="AI33" s="12"/>
      <c r="AJ33" s="12"/>
      <c r="AL33" s="14"/>
      <c r="AM33" s="15"/>
      <c r="AN33" s="23"/>
    </row>
    <row r="34" spans="1:40" s="16" customFormat="1">
      <c r="B34" s="8"/>
      <c r="D34" s="57">
        <f>D25</f>
        <v>451457505.86147523</v>
      </c>
      <c r="F34" s="57">
        <v>410798094</v>
      </c>
      <c r="G34" s="8"/>
      <c r="H34" s="31">
        <v>366020653</v>
      </c>
      <c r="I34" s="8"/>
      <c r="J34" s="32" t="s">
        <v>96</v>
      </c>
      <c r="K34" s="8"/>
      <c r="L34" s="57">
        <v>283685802</v>
      </c>
      <c r="M34" s="150"/>
      <c r="N34" s="57">
        <v>265495247</v>
      </c>
      <c r="O34" s="150"/>
      <c r="P34" s="57">
        <v>224751512</v>
      </c>
      <c r="R34" s="17"/>
      <c r="S34" s="18"/>
      <c r="T34" s="19"/>
      <c r="U34" s="18"/>
      <c r="V34" s="19"/>
      <c r="W34" s="18"/>
      <c r="Y34" s="17"/>
      <c r="Z34" s="18"/>
      <c r="AA34" s="17"/>
      <c r="AB34" s="18"/>
      <c r="AC34" s="17"/>
      <c r="AD34" s="18"/>
      <c r="AE34" s="17"/>
      <c r="AF34" s="18"/>
      <c r="AG34" s="17"/>
      <c r="AH34" s="18"/>
      <c r="AI34" s="18"/>
      <c r="AJ34" s="18"/>
      <c r="AL34" s="20"/>
      <c r="AM34" s="21"/>
      <c r="AN34" s="24"/>
    </row>
    <row r="35" spans="1:40" s="16" customFormat="1" ht="16.899999999999999" customHeight="1">
      <c r="B35" s="8"/>
      <c r="D35" s="93"/>
      <c r="F35" s="93"/>
      <c r="G35" s="8"/>
      <c r="H35" s="94"/>
      <c r="I35" s="8"/>
      <c r="J35" s="20"/>
      <c r="K35" s="8"/>
      <c r="L35" s="93"/>
      <c r="M35" s="150"/>
      <c r="N35" s="93"/>
      <c r="O35" s="150"/>
      <c r="P35" s="93"/>
      <c r="R35" s="17"/>
      <c r="S35" s="18"/>
      <c r="T35" s="19"/>
      <c r="U35" s="18"/>
      <c r="V35" s="19"/>
      <c r="W35" s="18"/>
      <c r="Y35" s="17"/>
      <c r="Z35" s="18"/>
      <c r="AA35" s="17"/>
      <c r="AB35" s="18"/>
      <c r="AC35" s="17"/>
      <c r="AD35" s="18"/>
      <c r="AE35" s="17"/>
      <c r="AF35" s="18"/>
      <c r="AG35" s="17"/>
      <c r="AH35" s="18"/>
      <c r="AI35" s="18"/>
      <c r="AJ35" s="18"/>
      <c r="AL35" s="20"/>
      <c r="AM35" s="21"/>
      <c r="AN35" s="24"/>
    </row>
    <row r="36" spans="1:40">
      <c r="C36" s="3"/>
      <c r="D36" s="3"/>
      <c r="E36" s="3"/>
      <c r="L36"/>
      <c r="M36" s="151"/>
      <c r="N36"/>
      <c r="O36" s="151"/>
      <c r="P36"/>
      <c r="Q36" s="4" t="s">
        <v>97</v>
      </c>
      <c r="S36" s="3"/>
      <c r="T36" s="5"/>
      <c r="U36" s="12"/>
      <c r="V36" s="7"/>
      <c r="W36" s="12"/>
      <c r="X36"/>
      <c r="AB36" s="3"/>
      <c r="AC36" s="3"/>
      <c r="AD36"/>
      <c r="AE36"/>
      <c r="AF36"/>
      <c r="AG36"/>
      <c r="AH36"/>
      <c r="AI36"/>
      <c r="AJ36"/>
      <c r="AL36" s="2"/>
    </row>
    <row r="37" spans="1:40">
      <c r="A37" s="59">
        <v>1</v>
      </c>
    </row>
    <row r="38" spans="1:40">
      <c r="A38" t="s">
        <v>98</v>
      </c>
    </row>
    <row r="39" spans="1:40">
      <c r="A39" t="s">
        <v>99</v>
      </c>
      <c r="C39" s="139">
        <v>0.215</v>
      </c>
      <c r="D39" s="174">
        <f>D$52*C39</f>
        <v>603648588.33382773</v>
      </c>
      <c r="E39" s="58">
        <f>F39/F$52</f>
        <v>0.17664759649224948</v>
      </c>
      <c r="F39" s="74">
        <v>446600531</v>
      </c>
      <c r="G39" s="58">
        <f t="shared" ref="G39:G44" si="1">H39/H$52</f>
        <v>0.16538449830076374</v>
      </c>
      <c r="H39" s="74">
        <v>423764549</v>
      </c>
      <c r="I39" s="58">
        <f t="shared" ref="I39:I44" si="2">J39/J$52</f>
        <v>0.17308731252207529</v>
      </c>
      <c r="J39" s="74">
        <v>337312735</v>
      </c>
      <c r="K39" s="58">
        <f t="shared" ref="K39:K44" si="3">L39/L$52</f>
        <v>0.20097911672789975</v>
      </c>
      <c r="L39" s="74">
        <v>391699451</v>
      </c>
      <c r="M39" s="58">
        <f t="shared" ref="M39:M44" si="4">N39/N$52</f>
        <v>0.32452989528580156</v>
      </c>
      <c r="N39" s="74">
        <v>632371432</v>
      </c>
      <c r="O39" s="58">
        <f t="shared" ref="O39:O44" si="5">P39/P$52</f>
        <v>0.43886910958599623</v>
      </c>
      <c r="P39" s="74">
        <v>605467062</v>
      </c>
      <c r="Q39"/>
      <c r="S39" s="3"/>
      <c r="T39" s="3"/>
      <c r="W39"/>
      <c r="X39"/>
      <c r="Y39" s="2"/>
      <c r="Z39" s="2"/>
      <c r="AA39" s="2"/>
      <c r="AB39" s="2"/>
      <c r="AC39" s="2"/>
      <c r="AD39"/>
      <c r="AE39"/>
      <c r="AF39"/>
      <c r="AG39"/>
      <c r="AH39"/>
      <c r="AI39"/>
      <c r="AJ39"/>
    </row>
    <row r="40" spans="1:40">
      <c r="A40" t="s">
        <v>100</v>
      </c>
      <c r="C40" s="139">
        <v>0.52</v>
      </c>
      <c r="D40" s="175">
        <f>D$52*C40</f>
        <v>1459987283.4120486</v>
      </c>
      <c r="E40" s="58">
        <f t="shared" ref="E40:E44" si="6">F40/F$52</f>
        <v>0.54084158000575366</v>
      </c>
      <c r="F40" s="75">
        <v>1367355920</v>
      </c>
      <c r="G40" s="58">
        <f t="shared" si="1"/>
        <v>0.60756456804685266</v>
      </c>
      <c r="H40" s="75">
        <v>1556762138</v>
      </c>
      <c r="I40" s="58">
        <f t="shared" si="2"/>
        <v>0.61129566144802994</v>
      </c>
      <c r="J40" s="75">
        <v>1191293622</v>
      </c>
      <c r="K40" s="58">
        <f t="shared" si="3"/>
        <v>0.60499795085674324</v>
      </c>
      <c r="L40" s="75">
        <v>1179114373</v>
      </c>
      <c r="M40" s="58">
        <f t="shared" si="4"/>
        <v>0.53254388550866172</v>
      </c>
      <c r="N40" s="75">
        <v>1037702672</v>
      </c>
      <c r="O40" s="58">
        <f t="shared" si="5"/>
        <v>0.45173100367999697</v>
      </c>
      <c r="P40" s="75">
        <v>623211426</v>
      </c>
      <c r="Q40"/>
      <c r="S40" s="3"/>
      <c r="T40" s="3"/>
      <c r="W40"/>
      <c r="X40"/>
      <c r="Y40" s="2"/>
      <c r="Z40" s="2"/>
      <c r="AA40" s="2"/>
      <c r="AB40" s="2"/>
      <c r="AC40" s="2"/>
      <c r="AD40"/>
      <c r="AE40"/>
      <c r="AF40"/>
      <c r="AG40"/>
      <c r="AH40"/>
      <c r="AI40"/>
      <c r="AJ40"/>
    </row>
    <row r="41" spans="1:40">
      <c r="A41" t="s">
        <v>101</v>
      </c>
      <c r="C41" s="139">
        <f>E41</f>
        <v>0.13503515414902592</v>
      </c>
      <c r="D41" s="175">
        <f>D$52*C41</f>
        <v>379133861.29069918</v>
      </c>
      <c r="E41" s="58">
        <f t="shared" si="6"/>
        <v>0.13503515414902592</v>
      </c>
      <c r="F41" s="75">
        <v>341395936</v>
      </c>
      <c r="G41" s="58">
        <f t="shared" si="1"/>
        <v>8.635632979874687E-2</v>
      </c>
      <c r="H41" s="75">
        <v>221270745</v>
      </c>
      <c r="I41" s="58">
        <f t="shared" si="2"/>
        <v>6.2904178701686062E-2</v>
      </c>
      <c r="J41" s="75">
        <v>122587729</v>
      </c>
      <c r="K41" s="58">
        <f t="shared" si="3"/>
        <v>6.1099802840185034E-2</v>
      </c>
      <c r="L41" s="75">
        <v>119080826</v>
      </c>
      <c r="M41" s="58">
        <f t="shared" si="4"/>
        <v>3.4566740833377317E-2</v>
      </c>
      <c r="N41" s="75">
        <v>67355950</v>
      </c>
      <c r="O41" s="58">
        <f t="shared" si="5"/>
        <v>3.3495565987401114E-3</v>
      </c>
      <c r="P41" s="75">
        <v>4621073</v>
      </c>
      <c r="Q41"/>
      <c r="S41" s="3"/>
      <c r="T41" s="3"/>
      <c r="W41"/>
      <c r="X41"/>
      <c r="Y41" s="2"/>
      <c r="Z41" s="2"/>
      <c r="AA41" s="2"/>
      <c r="AB41" s="2"/>
      <c r="AC41" s="2"/>
      <c r="AD41"/>
      <c r="AE41"/>
      <c r="AF41"/>
      <c r="AG41"/>
      <c r="AH41"/>
      <c r="AI41"/>
      <c r="AJ41"/>
    </row>
    <row r="42" spans="1:40">
      <c r="A42" t="s">
        <v>102</v>
      </c>
      <c r="C42" s="58">
        <f t="shared" ref="C42" si="7">(E42+G42+I42+K42+M42+O42)/6</f>
        <v>6.5103977373633598E-3</v>
      </c>
      <c r="D42" s="175">
        <f>D$52*C42</f>
        <v>18279034.435586691</v>
      </c>
      <c r="E42" s="58">
        <f t="shared" si="6"/>
        <v>5.203776487438542E-3</v>
      </c>
      <c r="F42" s="75">
        <v>13156190</v>
      </c>
      <c r="G42" s="58">
        <f t="shared" si="1"/>
        <v>9.0979765470290703E-3</v>
      </c>
      <c r="H42" s="75">
        <v>23311737</v>
      </c>
      <c r="I42" s="58">
        <f t="shared" si="2"/>
        <v>6.8489628814556022E-3</v>
      </c>
      <c r="J42" s="75">
        <v>13347266</v>
      </c>
      <c r="K42" s="58">
        <f t="shared" si="3"/>
        <v>8.4503093891841619E-3</v>
      </c>
      <c r="L42" s="75">
        <v>16469281</v>
      </c>
      <c r="M42" s="58">
        <f t="shared" si="4"/>
        <v>5.8492972262193929E-3</v>
      </c>
      <c r="N42" s="75">
        <v>11397805</v>
      </c>
      <c r="O42" s="58">
        <f t="shared" si="5"/>
        <v>3.6120638928533884E-3</v>
      </c>
      <c r="P42" s="75">
        <v>4983230</v>
      </c>
      <c r="S42" s="3"/>
      <c r="U42"/>
      <c r="V42" s="2"/>
      <c r="W42" s="2"/>
      <c r="X42" s="2"/>
      <c r="Y42" s="2"/>
      <c r="Z42"/>
      <c r="AA42"/>
      <c r="AD42"/>
      <c r="AE42"/>
      <c r="AF42"/>
      <c r="AG42"/>
      <c r="AH42"/>
      <c r="AI42"/>
      <c r="AJ42"/>
    </row>
    <row r="43" spans="1:40">
      <c r="A43" t="s">
        <v>103</v>
      </c>
      <c r="C43" s="58">
        <f>D43/D44</f>
        <v>3.1949759035743725E-3</v>
      </c>
      <c r="D43" s="176">
        <f>D44-SUM(D39:D42)</f>
        <v>7888194.0996661186</v>
      </c>
      <c r="E43" s="58">
        <f t="shared" si="6"/>
        <v>1.0207754734117423E-3</v>
      </c>
      <c r="F43" s="76">
        <v>2580725</v>
      </c>
      <c r="G43" s="58">
        <f t="shared" si="1"/>
        <v>2.1633532276242036E-3</v>
      </c>
      <c r="H43" s="76">
        <v>5543158</v>
      </c>
      <c r="I43" s="58">
        <f t="shared" si="2"/>
        <v>2.4045861527202529E-3</v>
      </c>
      <c r="J43" s="76">
        <v>4686060</v>
      </c>
      <c r="K43" s="58">
        <f t="shared" si="3"/>
        <v>6.0597161420338662E-3</v>
      </c>
      <c r="L43" s="76">
        <v>11810120</v>
      </c>
      <c r="M43" s="58">
        <f t="shared" si="4"/>
        <v>5.811696963723815E-3</v>
      </c>
      <c r="N43" s="76">
        <v>11324538</v>
      </c>
      <c r="O43" s="58">
        <f t="shared" si="5"/>
        <v>7.8239651108737655E-3</v>
      </c>
      <c r="P43" s="76">
        <v>10794000</v>
      </c>
      <c r="R43"/>
      <c r="S43" s="3"/>
      <c r="T43" s="3"/>
      <c r="Y43"/>
      <c r="Z43"/>
      <c r="AA43" s="2"/>
      <c r="AB43" s="2"/>
      <c r="AC43" s="2"/>
      <c r="AH43"/>
      <c r="AI43"/>
      <c r="AJ43"/>
    </row>
    <row r="44" spans="1:40" s="8" customFormat="1">
      <c r="A44" s="8" t="s">
        <v>104</v>
      </c>
      <c r="C44" s="133">
        <f>(E44+G44+I44+K44+M44+O44)/6</f>
        <v>0.8793550701461923</v>
      </c>
      <c r="D44" s="46">
        <f t="shared" ref="D44:D50" si="8">D$52*C44</f>
        <v>2468936961.5718284</v>
      </c>
      <c r="E44" s="133">
        <f t="shared" si="6"/>
        <v>0.85874888260787929</v>
      </c>
      <c r="F44" s="46">
        <f>SUM(F39:F43)</f>
        <v>2171089302</v>
      </c>
      <c r="G44" s="133">
        <f t="shared" si="1"/>
        <v>0.87056672592101658</v>
      </c>
      <c r="H44" s="46">
        <f>SUM(H39:H43)</f>
        <v>2230652327</v>
      </c>
      <c r="I44" s="133">
        <f t="shared" si="2"/>
        <v>0.85654070170596719</v>
      </c>
      <c r="J44" s="46">
        <f>SUM(J39:J43)</f>
        <v>1669227412</v>
      </c>
      <c r="K44" s="133">
        <f t="shared" si="3"/>
        <v>0.88158689595604611</v>
      </c>
      <c r="L44" s="46">
        <f>SUM(L39:L43)</f>
        <v>1718174051</v>
      </c>
      <c r="M44" s="133">
        <f t="shared" si="4"/>
        <v>0.90330151581778384</v>
      </c>
      <c r="N44" s="46">
        <f>SUM(N39:N43)</f>
        <v>1760152397</v>
      </c>
      <c r="O44" s="133">
        <f t="shared" si="5"/>
        <v>0.90538569886846043</v>
      </c>
      <c r="P44" s="46">
        <f>SUM(P39:P43)</f>
        <v>1249076791</v>
      </c>
      <c r="Q44" s="135"/>
      <c r="R44"/>
      <c r="U44" s="135"/>
      <c r="V44" s="135"/>
      <c r="W44" s="135"/>
      <c r="X44" s="135"/>
      <c r="Y44" s="135"/>
      <c r="Z44" s="135"/>
      <c r="AA44" s="135"/>
      <c r="AD44" s="138"/>
      <c r="AE44" s="138"/>
      <c r="AF44" s="138"/>
      <c r="AG44" s="138"/>
      <c r="AH44" s="138"/>
      <c r="AI44" s="138"/>
      <c r="AJ44" s="138"/>
    </row>
    <row r="45" spans="1:40">
      <c r="A45" t="s">
        <v>105</v>
      </c>
      <c r="C45" s="134">
        <f t="shared" ref="C45:C52" si="9">(E45+G45+I45+K45+M45+O45)/6</f>
        <v>7.2580247442369768E-3</v>
      </c>
      <c r="D45" s="5">
        <f t="shared" si="8"/>
        <v>20378122.748607639</v>
      </c>
      <c r="E45" s="58">
        <f t="shared" ref="E45:E51" si="10">F45/F$52</f>
        <v>1.0242686299921176E-2</v>
      </c>
      <c r="F45" s="4">
        <v>25895564</v>
      </c>
      <c r="G45" s="58">
        <f t="shared" ref="G45:O51" si="11">H45/H$52</f>
        <v>8.4921838790789055E-3</v>
      </c>
      <c r="H45" s="4">
        <v>21759515</v>
      </c>
      <c r="I45" s="58">
        <f t="shared" si="11"/>
        <v>4.7421213355447293E-3</v>
      </c>
      <c r="J45" s="63">
        <v>9241451</v>
      </c>
      <c r="K45" s="58">
        <f t="shared" si="11"/>
        <v>6.2731714507714758E-3</v>
      </c>
      <c r="L45" s="5">
        <v>12226135</v>
      </c>
      <c r="M45" s="58">
        <f t="shared" si="11"/>
        <v>5.5410732992902242E-3</v>
      </c>
      <c r="N45" s="5">
        <v>10797207</v>
      </c>
      <c r="O45" s="58">
        <f t="shared" si="11"/>
        <v>8.2569122008153591E-3</v>
      </c>
      <c r="P45" s="5">
        <v>11391297</v>
      </c>
      <c r="S45" s="3"/>
    </row>
    <row r="46" spans="1:40">
      <c r="A46" t="s">
        <v>106</v>
      </c>
      <c r="C46" s="134">
        <f t="shared" si="9"/>
        <v>3.2395790655778543E-2</v>
      </c>
      <c r="D46" s="5">
        <f t="shared" si="8"/>
        <v>90956619.987529889</v>
      </c>
      <c r="E46" s="58">
        <f t="shared" si="10"/>
        <v>2.9718042066996096E-2</v>
      </c>
      <c r="F46" s="4">
        <v>75133167</v>
      </c>
      <c r="G46" s="58">
        <f t="shared" si="11"/>
        <v>3.011648577307556E-2</v>
      </c>
      <c r="H46" s="4">
        <v>77167444</v>
      </c>
      <c r="I46" s="58">
        <f t="shared" si="11"/>
        <v>3.6631294555722019E-2</v>
      </c>
      <c r="J46" s="63">
        <v>71387105</v>
      </c>
      <c r="K46" s="58">
        <f t="shared" si="11"/>
        <v>4.0381759715662498E-2</v>
      </c>
      <c r="L46" s="5">
        <v>78702272</v>
      </c>
      <c r="M46" s="58">
        <f t="shared" si="11"/>
        <v>3.6330866815575825E-2</v>
      </c>
      <c r="N46" s="5">
        <v>70793485</v>
      </c>
      <c r="O46" s="58">
        <f t="shared" si="11"/>
        <v>2.1196295007639272E-2</v>
      </c>
      <c r="P46" s="5">
        <v>29242565</v>
      </c>
      <c r="S46" s="3"/>
    </row>
    <row r="47" spans="1:40">
      <c r="A47" t="s">
        <v>107</v>
      </c>
      <c r="C47" s="134">
        <f t="shared" si="9"/>
        <v>6.217434001708496E-2</v>
      </c>
      <c r="D47" s="5">
        <f t="shared" si="8"/>
        <v>174564895.72977093</v>
      </c>
      <c r="E47" s="58">
        <f t="shared" si="10"/>
        <v>8.2864271269118314E-2</v>
      </c>
      <c r="F47" s="4">
        <v>209497487</v>
      </c>
      <c r="G47" s="58">
        <f t="shared" si="11"/>
        <v>7.5704219692445299E-2</v>
      </c>
      <c r="H47" s="4">
        <v>193976853</v>
      </c>
      <c r="I47" s="58">
        <f t="shared" si="11"/>
        <v>8.0175457439025738E-2</v>
      </c>
      <c r="J47" s="63">
        <v>156246015</v>
      </c>
      <c r="K47" s="58">
        <f t="shared" si="11"/>
        <v>5.3262414939984855E-2</v>
      </c>
      <c r="L47" s="5">
        <v>103806102</v>
      </c>
      <c r="M47" s="58">
        <f t="shared" si="11"/>
        <v>3.7994771447609883E-2</v>
      </c>
      <c r="N47" s="5">
        <v>74035731</v>
      </c>
      <c r="O47" s="58">
        <f t="shared" si="11"/>
        <v>4.3044905314325664E-2</v>
      </c>
      <c r="P47" s="5">
        <v>59385069</v>
      </c>
      <c r="U47" s="2"/>
      <c r="V47" s="2"/>
      <c r="W47" s="2"/>
      <c r="X47" s="2"/>
      <c r="AD47"/>
      <c r="AE47"/>
      <c r="AF47"/>
      <c r="AG47"/>
      <c r="AH47"/>
      <c r="AI47"/>
      <c r="AJ47"/>
    </row>
    <row r="48" spans="1:40">
      <c r="A48" t="s">
        <v>108</v>
      </c>
      <c r="C48" s="134">
        <f t="shared" si="9"/>
        <v>2.5936562188351648E-5</v>
      </c>
      <c r="D48" s="5">
        <f t="shared" si="8"/>
        <v>72821.251866190723</v>
      </c>
      <c r="E48" s="58">
        <f t="shared" si="10"/>
        <v>3.7332483035772467E-5</v>
      </c>
      <c r="F48" s="4">
        <v>94384</v>
      </c>
      <c r="G48" s="58">
        <f t="shared" si="11"/>
        <v>1.9804479600940514E-5</v>
      </c>
      <c r="H48" s="4">
        <v>50745</v>
      </c>
      <c r="I48" s="58">
        <f t="shared" si="11"/>
        <v>1.9586401678453125E-5</v>
      </c>
      <c r="J48" s="63">
        <v>38170</v>
      </c>
      <c r="K48" s="58">
        <f t="shared" si="11"/>
        <v>2.3832246866686281E-5</v>
      </c>
      <c r="L48" s="5">
        <v>46448</v>
      </c>
      <c r="M48" s="58">
        <f t="shared" si="11"/>
        <v>2.4037543437432923E-5</v>
      </c>
      <c r="N48" s="5">
        <v>46839</v>
      </c>
      <c r="O48" s="58">
        <f t="shared" si="11"/>
        <v>3.1026218510824592E-5</v>
      </c>
      <c r="P48" s="5">
        <v>42804</v>
      </c>
      <c r="U48" s="2"/>
      <c r="V48" s="2"/>
      <c r="W48" s="2"/>
      <c r="X48" s="2"/>
      <c r="AD48"/>
      <c r="AE48"/>
      <c r="AF48"/>
      <c r="AG48"/>
      <c r="AH48"/>
      <c r="AI48"/>
      <c r="AJ48"/>
    </row>
    <row r="49" spans="1:36">
      <c r="A49" t="s">
        <v>109</v>
      </c>
      <c r="C49" s="134">
        <f t="shared" si="9"/>
        <v>4.9399447173567503E-4</v>
      </c>
      <c r="D49" s="5">
        <f t="shared" si="8"/>
        <v>1386972.3977114195</v>
      </c>
      <c r="E49" s="58">
        <f t="shared" si="10"/>
        <v>1.3756255027689282E-3</v>
      </c>
      <c r="F49" s="4">
        <v>3477857</v>
      </c>
      <c r="G49" s="58">
        <f t="shared" si="11"/>
        <v>6.4149419883862292E-4</v>
      </c>
      <c r="H49" s="4">
        <v>1643700</v>
      </c>
      <c r="I49" s="58">
        <f t="shared" si="11"/>
        <v>8.4318509924113634E-4</v>
      </c>
      <c r="J49" s="63">
        <v>1643200</v>
      </c>
      <c r="K49" s="58">
        <f t="shared" si="11"/>
        <v>3.1196189491356482E-5</v>
      </c>
      <c r="L49" s="5">
        <v>60800</v>
      </c>
      <c r="M49" s="58">
        <f t="shared" si="11"/>
        <v>2.719933820499893E-5</v>
      </c>
      <c r="N49" s="5">
        <v>53000</v>
      </c>
      <c r="O49" s="58">
        <f t="shared" si="11"/>
        <v>4.5266501869007469E-5</v>
      </c>
      <c r="P49" s="5">
        <v>62450</v>
      </c>
      <c r="U49" s="2"/>
      <c r="V49" s="2"/>
      <c r="W49" s="2"/>
      <c r="X49" s="2"/>
      <c r="AD49"/>
      <c r="AE49"/>
      <c r="AF49"/>
      <c r="AG49"/>
      <c r="AH49"/>
      <c r="AI49"/>
      <c r="AJ49"/>
    </row>
    <row r="50" spans="1:36">
      <c r="A50" t="s">
        <v>110</v>
      </c>
      <c r="C50" s="134">
        <f t="shared" si="9"/>
        <v>3.5665976474847928E-4</v>
      </c>
      <c r="D50" s="5">
        <f t="shared" si="8"/>
        <v>1001382.1558413703</v>
      </c>
      <c r="E50" s="58">
        <f t="shared" si="10"/>
        <v>3.4565297375933256E-4</v>
      </c>
      <c r="F50" s="4">
        <v>873880</v>
      </c>
      <c r="G50" s="58">
        <f t="shared" si="11"/>
        <v>3.5744461083672078E-4</v>
      </c>
      <c r="H50" s="4">
        <v>915880</v>
      </c>
      <c r="I50" s="58">
        <f t="shared" si="11"/>
        <v>5.0584537813480916E-4</v>
      </c>
      <c r="J50" s="63">
        <v>985792</v>
      </c>
      <c r="K50" s="58">
        <f t="shared" si="11"/>
        <v>4.3705964096434817E-4</v>
      </c>
      <c r="L50" s="5">
        <v>851810</v>
      </c>
      <c r="M50" s="58">
        <f t="shared" si="11"/>
        <v>4.6177291541241579E-4</v>
      </c>
      <c r="N50" s="5">
        <v>899800</v>
      </c>
      <c r="O50" s="58">
        <f t="shared" si="11"/>
        <v>3.2183069383249505E-5</v>
      </c>
      <c r="P50" s="5">
        <v>44400</v>
      </c>
      <c r="U50" s="2"/>
      <c r="V50" s="2"/>
      <c r="W50" s="2"/>
      <c r="X50" s="2"/>
      <c r="AD50"/>
      <c r="AE50"/>
      <c r="AF50"/>
      <c r="AG50"/>
      <c r="AH50"/>
      <c r="AI50"/>
      <c r="AJ50"/>
    </row>
    <row r="51" spans="1:36">
      <c r="A51" t="s">
        <v>111</v>
      </c>
      <c r="C51" s="134">
        <f t="shared" si="9"/>
        <v>1.7940183638034769E-2</v>
      </c>
      <c r="D51" s="5">
        <f>D$52*C51</f>
        <v>50370076.872322433</v>
      </c>
      <c r="E51" s="58">
        <f t="shared" si="10"/>
        <v>1.6667506796521049E-2</v>
      </c>
      <c r="F51" s="4">
        <v>42138798</v>
      </c>
      <c r="G51" s="58">
        <f t="shared" si="11"/>
        <v>1.410164144510738E-2</v>
      </c>
      <c r="H51" s="4">
        <v>36132623</v>
      </c>
      <c r="I51" s="58">
        <f t="shared" si="11"/>
        <v>2.0541808084685947E-2</v>
      </c>
      <c r="J51" s="63">
        <v>40031897</v>
      </c>
      <c r="K51" s="58">
        <f t="shared" si="11"/>
        <v>1.8003669860212717E-2</v>
      </c>
      <c r="L51" s="5">
        <v>35088360</v>
      </c>
      <c r="M51" s="58">
        <f t="shared" si="11"/>
        <v>1.6318762822685365E-2</v>
      </c>
      <c r="N51" s="5">
        <v>31798363</v>
      </c>
      <c r="O51" s="58">
        <f t="shared" si="11"/>
        <v>2.2007712818996165E-2</v>
      </c>
      <c r="P51" s="5">
        <v>30362003</v>
      </c>
      <c r="U51" s="2"/>
      <c r="V51" s="2"/>
      <c r="W51" s="2"/>
      <c r="X51" s="2"/>
      <c r="AD51"/>
      <c r="AE51"/>
      <c r="AF51"/>
      <c r="AG51"/>
      <c r="AH51"/>
      <c r="AI51"/>
      <c r="AJ51"/>
    </row>
    <row r="52" spans="1:36">
      <c r="A52" t="s">
        <v>112</v>
      </c>
      <c r="C52" s="134">
        <f t="shared" si="9"/>
        <v>1</v>
      </c>
      <c r="D52" s="63">
        <f>D7</f>
        <v>2807667852.7154779</v>
      </c>
      <c r="E52" s="58">
        <v>1</v>
      </c>
      <c r="F52" s="4">
        <f>SUM(F44:F51)</f>
        <v>2528200439</v>
      </c>
      <c r="G52" s="58">
        <v>1</v>
      </c>
      <c r="H52" s="4">
        <f>SUM(H44:H51)</f>
        <v>2562299087</v>
      </c>
      <c r="I52" s="58">
        <v>1</v>
      </c>
      <c r="J52" s="4">
        <f>SUM(J44:J51)</f>
        <v>1948801042</v>
      </c>
      <c r="K52" s="58">
        <v>1</v>
      </c>
      <c r="L52" s="5">
        <f>SUM(L44:L51)</f>
        <v>1948955978</v>
      </c>
      <c r="M52" s="58">
        <v>1</v>
      </c>
      <c r="N52" s="5">
        <f>SUM(N44:N51)</f>
        <v>1948576822</v>
      </c>
      <c r="O52" s="58">
        <v>1</v>
      </c>
      <c r="P52" s="5">
        <f>SUM(P44:P51)</f>
        <v>1379607379</v>
      </c>
      <c r="U52" s="2"/>
      <c r="V52" s="2"/>
      <c r="W52" s="2"/>
      <c r="X52" s="2"/>
      <c r="AD52"/>
      <c r="AE52"/>
      <c r="AF52"/>
      <c r="AG52"/>
      <c r="AH52"/>
      <c r="AI52"/>
      <c r="AJ52"/>
    </row>
    <row r="53" spans="1:36">
      <c r="C53" s="1"/>
      <c r="D53" s="1"/>
      <c r="E53" s="1"/>
      <c r="F53" s="4"/>
      <c r="H53" s="4"/>
      <c r="J53" s="4"/>
      <c r="U53" s="2"/>
      <c r="V53" s="2"/>
      <c r="W53" s="2"/>
      <c r="X53" s="2"/>
      <c r="AD53"/>
      <c r="AE53"/>
      <c r="AF53"/>
      <c r="AG53"/>
      <c r="AH53"/>
      <c r="AI53"/>
      <c r="AJ53"/>
    </row>
    <row r="54" spans="1:36">
      <c r="C54" s="1"/>
      <c r="D54" s="1"/>
      <c r="E54" s="1"/>
      <c r="F54" s="4">
        <f>F52-F7</f>
        <v>0</v>
      </c>
      <c r="H54" s="4">
        <f>H52-H7</f>
        <v>0</v>
      </c>
      <c r="J54" s="4">
        <f>J52-J7</f>
        <v>0</v>
      </c>
      <c r="L54" s="4">
        <f>L52-L7</f>
        <v>0</v>
      </c>
      <c r="N54" s="4">
        <f>N52-N7</f>
        <v>0</v>
      </c>
      <c r="P54" s="4">
        <f>P52-P7</f>
        <v>0</v>
      </c>
      <c r="U54" s="2"/>
      <c r="V54" s="2"/>
      <c r="W54" s="2"/>
      <c r="X54" s="2"/>
      <c r="AD54"/>
      <c r="AE54"/>
      <c r="AF54"/>
      <c r="AG54"/>
      <c r="AH54"/>
      <c r="AI54"/>
      <c r="AJ54"/>
    </row>
    <row r="55" spans="1:36">
      <c r="C55" s="1"/>
      <c r="D55" s="1"/>
      <c r="E55" s="1"/>
      <c r="F55" s="4"/>
      <c r="H55" s="4"/>
      <c r="J55" s="4"/>
      <c r="L55" s="4"/>
      <c r="M55" s="152"/>
      <c r="N55" s="4"/>
      <c r="O55" s="152"/>
      <c r="P55" s="4"/>
      <c r="U55" s="2"/>
      <c r="V55" s="2"/>
      <c r="W55" s="2"/>
      <c r="X55" s="2"/>
      <c r="AD55"/>
      <c r="AE55"/>
      <c r="AF55"/>
      <c r="AG55"/>
      <c r="AH55"/>
      <c r="AI55"/>
      <c r="AJ55"/>
    </row>
    <row r="56" spans="1:36">
      <c r="A56" t="s">
        <v>113</v>
      </c>
      <c r="F56" s="63"/>
      <c r="H56" s="63"/>
      <c r="J56" s="63"/>
      <c r="L56" s="63"/>
      <c r="M56" s="153"/>
      <c r="N56" s="63"/>
      <c r="O56" s="153"/>
      <c r="P56" s="63"/>
      <c r="U56" s="2"/>
      <c r="V56" s="2"/>
      <c r="W56" s="2"/>
      <c r="X56" s="2"/>
      <c r="AD56"/>
      <c r="AE56"/>
      <c r="AF56"/>
      <c r="AG56"/>
      <c r="AH56"/>
      <c r="AI56"/>
      <c r="AJ56"/>
    </row>
    <row r="57" spans="1:36">
      <c r="A57" t="s">
        <v>114</v>
      </c>
      <c r="C57" s="1"/>
      <c r="D57" s="5">
        <f>D59-D58</f>
        <v>2796486601.1829906</v>
      </c>
      <c r="E57" s="1"/>
      <c r="F57" s="5">
        <v>2461353794</v>
      </c>
      <c r="H57" s="5">
        <v>1862757724</v>
      </c>
      <c r="J57" s="5">
        <v>1783772956</v>
      </c>
      <c r="L57" s="5">
        <v>1510012130</v>
      </c>
      <c r="N57" s="5">
        <v>1223304893</v>
      </c>
      <c r="P57" s="5">
        <v>1161417102</v>
      </c>
      <c r="U57" s="2"/>
      <c r="V57" s="2"/>
      <c r="W57" s="2"/>
      <c r="X57" s="2"/>
      <c r="AD57"/>
      <c r="AE57"/>
      <c r="AF57"/>
      <c r="AG57"/>
      <c r="AH57"/>
      <c r="AI57"/>
      <c r="AJ57"/>
    </row>
    <row r="58" spans="1:36">
      <c r="A58" t="s">
        <v>115</v>
      </c>
      <c r="D58" s="5">
        <f>D66/(1-C62)</f>
        <v>153485419.13706237</v>
      </c>
      <c r="F58" s="5">
        <v>111567323</v>
      </c>
      <c r="H58" s="5">
        <v>101899160</v>
      </c>
      <c r="J58" s="5">
        <v>90895949</v>
      </c>
      <c r="L58" s="5">
        <v>80888461</v>
      </c>
      <c r="N58" s="5">
        <v>82104376</v>
      </c>
      <c r="P58" s="5">
        <v>81905850</v>
      </c>
      <c r="U58" s="2"/>
      <c r="V58" s="2"/>
      <c r="W58" s="2"/>
      <c r="X58" s="2"/>
      <c r="AD58"/>
      <c r="AE58"/>
      <c r="AF58"/>
      <c r="AG58"/>
      <c r="AH58"/>
      <c r="AI58"/>
      <c r="AJ58"/>
    </row>
    <row r="59" spans="1:36">
      <c r="A59" t="s">
        <v>112</v>
      </c>
      <c r="C59" s="1"/>
      <c r="D59" s="5">
        <f>D67/(1-C63)</f>
        <v>2949972020.3200531</v>
      </c>
      <c r="E59" s="1"/>
      <c r="F59" s="5">
        <f>SUM(F57:F58)</f>
        <v>2572921117</v>
      </c>
      <c r="H59" s="5">
        <f>SUM(H57:H58)</f>
        <v>1964656884</v>
      </c>
      <c r="J59" s="5">
        <f>SUM(J57:J58)</f>
        <v>1874668905</v>
      </c>
      <c r="L59" s="5">
        <f>SUM(L57:L58)</f>
        <v>1590900591</v>
      </c>
      <c r="N59" s="5">
        <f>SUM(N57:N58)</f>
        <v>1305409269</v>
      </c>
      <c r="P59" s="5">
        <f>SUM(P57:P58)</f>
        <v>1243322952</v>
      </c>
      <c r="U59" s="2"/>
      <c r="V59" s="2"/>
      <c r="W59" s="2"/>
      <c r="X59" s="2"/>
      <c r="AD59"/>
      <c r="AE59"/>
      <c r="AF59"/>
      <c r="AG59"/>
      <c r="AH59"/>
      <c r="AI59"/>
      <c r="AJ59"/>
    </row>
    <row r="60" spans="1:36">
      <c r="D60" s="5"/>
      <c r="F60" s="5"/>
      <c r="H60" s="5"/>
      <c r="J60" s="5"/>
      <c r="L60" s="5"/>
      <c r="N60" s="5"/>
      <c r="P60" s="5"/>
      <c r="U60" s="2"/>
      <c r="V60" s="2"/>
      <c r="W60" s="2"/>
      <c r="X60" s="2"/>
      <c r="AD60"/>
      <c r="AE60"/>
      <c r="AF60"/>
      <c r="AG60"/>
      <c r="AH60"/>
      <c r="AI60"/>
      <c r="AJ60"/>
    </row>
    <row r="61" spans="1:36">
      <c r="A61" t="s">
        <v>116</v>
      </c>
      <c r="C61" s="132">
        <f>((2*E61)+(2*G61)+(2*I61)+K61+M61+O61)/9</f>
        <v>9.5575943741877181E-3</v>
      </c>
      <c r="D61" s="5">
        <f>D57*C61</f>
        <v>26727684.606957883</v>
      </c>
      <c r="E61" s="3">
        <f t="shared" ref="E61:G62" si="12">-F61/F57</f>
        <v>1.5563389990248594E-2</v>
      </c>
      <c r="F61" s="5">
        <v>-38307009</v>
      </c>
      <c r="G61" s="3">
        <f t="shared" si="12"/>
        <v>9.8736506433619274E-3</v>
      </c>
      <c r="H61" s="5">
        <v>-18392219</v>
      </c>
      <c r="I61" s="3">
        <f>-J61/J57</f>
        <v>7.7989213555494669E-3</v>
      </c>
      <c r="J61" s="5">
        <v>-13911505</v>
      </c>
      <c r="K61" s="3">
        <f>-L61/L57</f>
        <v>7.2902116355846756E-3</v>
      </c>
      <c r="L61" s="5">
        <v>-11008308</v>
      </c>
      <c r="M61" s="3">
        <f>-N61/N57</f>
        <v>9.0437666548269097E-3</v>
      </c>
      <c r="N61" s="5">
        <v>-11063284</v>
      </c>
      <c r="O61" s="3">
        <f>-P61/P57</f>
        <v>3.2124470989579072E-3</v>
      </c>
      <c r="P61" s="5">
        <v>-3730991</v>
      </c>
      <c r="U61" s="2"/>
      <c r="V61" s="2"/>
      <c r="W61" s="2"/>
      <c r="X61" s="2"/>
      <c r="AD61"/>
      <c r="AE61"/>
      <c r="AF61"/>
      <c r="AG61"/>
      <c r="AH61"/>
      <c r="AI61"/>
      <c r="AJ61"/>
    </row>
    <row r="62" spans="1:36">
      <c r="A62" t="s">
        <v>117</v>
      </c>
      <c r="C62" s="132">
        <f>((2*E62)+(2*G62)+(2*I62)+K62+M62+O62)/9</f>
        <v>0.86852859938956783</v>
      </c>
      <c r="D62" s="5">
        <f>D58*C62</f>
        <v>133306476.10983355</v>
      </c>
      <c r="E62" s="3">
        <f t="shared" si="12"/>
        <v>0.88896312408607314</v>
      </c>
      <c r="F62" s="5">
        <v>-99179236</v>
      </c>
      <c r="G62" s="3">
        <f t="shared" si="12"/>
        <v>0.83337363134298659</v>
      </c>
      <c r="H62" s="5">
        <v>-84920073</v>
      </c>
      <c r="I62" s="3">
        <f>-J62/J58</f>
        <v>0.8609787109434327</v>
      </c>
      <c r="J62" s="5">
        <v>-78259477</v>
      </c>
      <c r="K62" s="3">
        <f>-L62/L58</f>
        <v>0.90056338196371422</v>
      </c>
      <c r="L62" s="5">
        <v>-72845186</v>
      </c>
      <c r="M62" s="3">
        <f>-N62/N58</f>
        <v>0.86275258946003075</v>
      </c>
      <c r="N62" s="5">
        <v>-70835763</v>
      </c>
      <c r="O62" s="3">
        <f>-P62/P58</f>
        <v>0.88681049033738124</v>
      </c>
      <c r="P62" s="5">
        <v>-72634967</v>
      </c>
      <c r="U62" s="2"/>
      <c r="V62" s="2"/>
      <c r="W62" s="2"/>
      <c r="X62" s="2"/>
      <c r="AD62"/>
      <c r="AE62"/>
      <c r="AF62"/>
      <c r="AG62"/>
      <c r="AH62"/>
      <c r="AI62"/>
      <c r="AJ62"/>
    </row>
    <row r="63" spans="1:36">
      <c r="A63" t="s">
        <v>112</v>
      </c>
      <c r="C63" s="132">
        <f>((2*E63)+(2*G63)+(2*I63)+K63+M63+O63)/9</f>
        <v>5.4138097535814125E-2</v>
      </c>
      <c r="D63" s="5">
        <f>D59*C63</f>
        <v>159705872.96400967</v>
      </c>
      <c r="E63" s="3">
        <f>-F63/F59</f>
        <v>5.3435857046526002E-2</v>
      </c>
      <c r="F63" s="5">
        <f>SUM(F61:F62)</f>
        <v>-137486245</v>
      </c>
      <c r="G63" s="3">
        <f>-H63/H59</f>
        <v>5.2585412160956246E-2</v>
      </c>
      <c r="H63" s="5">
        <f>SUM(H61:H62)</f>
        <v>-103312292</v>
      </c>
      <c r="I63" s="3">
        <f>-J63/J59</f>
        <v>4.9166539090805476E-2</v>
      </c>
      <c r="J63" s="5">
        <f>SUM(J61:J62)</f>
        <v>-92170982</v>
      </c>
      <c r="K63" s="3">
        <f>-L63/L59</f>
        <v>5.2708192123614592E-2</v>
      </c>
      <c r="L63" s="5">
        <f>SUM(L61:L62)</f>
        <v>-83853494</v>
      </c>
      <c r="M63" s="3">
        <f>-N63/N59</f>
        <v>6.2738214707743128E-2</v>
      </c>
      <c r="N63" s="5">
        <f>SUM(N61:N62)</f>
        <v>-81899047</v>
      </c>
      <c r="O63" s="3">
        <f>-P63/P59</f>
        <v>6.1420854394393903E-2</v>
      </c>
      <c r="P63" s="5">
        <f>SUM(P61:P62)</f>
        <v>-76365958</v>
      </c>
      <c r="U63" s="2"/>
      <c r="V63" s="2"/>
      <c r="W63" s="2"/>
      <c r="X63" s="2"/>
      <c r="AD63"/>
      <c r="AE63"/>
      <c r="AF63"/>
      <c r="AG63"/>
      <c r="AH63"/>
      <c r="AI63"/>
      <c r="AJ63"/>
    </row>
    <row r="64" spans="1:36">
      <c r="D64" s="5"/>
      <c r="F64" s="5"/>
      <c r="H64" s="5"/>
      <c r="J64" s="5"/>
      <c r="L64" s="5"/>
      <c r="N64" s="5"/>
      <c r="P64" s="5"/>
      <c r="U64" s="2"/>
      <c r="V64" s="2"/>
      <c r="W64" s="2"/>
      <c r="X64" s="2"/>
      <c r="AD64"/>
      <c r="AE64"/>
      <c r="AF64"/>
      <c r="AG64"/>
      <c r="AH64"/>
      <c r="AI64"/>
      <c r="AJ64"/>
    </row>
    <row r="65" spans="1:36">
      <c r="A65" t="s">
        <v>118</v>
      </c>
      <c r="C65" s="132">
        <f>((2*E65)+(2*G65)+(2*I65)+K65+M65+O65)/9</f>
        <v>0.99276809380841691</v>
      </c>
      <c r="D65" s="5">
        <f>C65*D$67</f>
        <v>2770087204.3288145</v>
      </c>
      <c r="E65" s="3">
        <f>F65/F$67</f>
        <v>0.99491339836576009</v>
      </c>
      <c r="F65" s="5">
        <f>F57+F61</f>
        <v>2423046785</v>
      </c>
      <c r="G65" s="3">
        <f>H65/H$67</f>
        <v>0.99087805284793817</v>
      </c>
      <c r="H65" s="5">
        <f>H57+H61</f>
        <v>1844365505</v>
      </c>
      <c r="I65" s="3">
        <f>J65/J$67</f>
        <v>0.99291080688681399</v>
      </c>
      <c r="J65" s="5">
        <f>J57+J61</f>
        <v>1769861451</v>
      </c>
      <c r="K65" s="3">
        <f>L65/L$67</f>
        <v>0.9946628907510513</v>
      </c>
      <c r="L65" s="5">
        <f>L57+L61</f>
        <v>1499003822</v>
      </c>
      <c r="M65" s="3">
        <f>N65/N$67</f>
        <v>0.99078993146327798</v>
      </c>
      <c r="N65" s="5">
        <f>N57+N61</f>
        <v>1212241609</v>
      </c>
      <c r="O65" s="3">
        <f>P65/P$67</f>
        <v>0.99205550586039848</v>
      </c>
      <c r="P65" s="5">
        <f>P57+P61</f>
        <v>1157686111</v>
      </c>
      <c r="U65" s="2"/>
      <c r="V65" s="2"/>
      <c r="W65" s="2"/>
      <c r="X65" s="2"/>
      <c r="AD65"/>
      <c r="AE65"/>
      <c r="AF65"/>
      <c r="AG65"/>
      <c r="AH65"/>
      <c r="AI65"/>
      <c r="AJ65"/>
    </row>
    <row r="66" spans="1:36">
      <c r="A66" t="s">
        <v>119</v>
      </c>
      <c r="C66" s="132">
        <f>((2*E66)+(2*G66)+(2*I66)+K66+M66+O66)/9</f>
        <v>7.2319061915830729E-3</v>
      </c>
      <c r="D66" s="5">
        <f>C66*D$67</f>
        <v>20178943.027228817</v>
      </c>
      <c r="E66" s="3">
        <f>F66/F$67</f>
        <v>5.0866016342398825E-3</v>
      </c>
      <c r="F66" s="5">
        <f>F58+F62</f>
        <v>12388087</v>
      </c>
      <c r="G66" s="3">
        <f>H66/H$67</f>
        <v>9.1219471520617816E-3</v>
      </c>
      <c r="H66" s="5">
        <f>H58+H62</f>
        <v>16979087</v>
      </c>
      <c r="I66" s="3">
        <f>J66/J$67</f>
        <v>7.0891931131860288E-3</v>
      </c>
      <c r="J66" s="5">
        <f>J58+J62</f>
        <v>12636472</v>
      </c>
      <c r="K66" s="3">
        <f>L66/L$67</f>
        <v>5.3371092489487076E-3</v>
      </c>
      <c r="L66" s="5">
        <f>L58+L62</f>
        <v>8043275</v>
      </c>
      <c r="M66" s="3">
        <f>N66/N$67</f>
        <v>9.2100685367220419E-3</v>
      </c>
      <c r="N66" s="5">
        <f>N58+N62</f>
        <v>11268613</v>
      </c>
      <c r="O66" s="3">
        <f>P66/P$67</f>
        <v>7.9444941396015142E-3</v>
      </c>
      <c r="P66" s="5">
        <f>P58+P62</f>
        <v>9270883</v>
      </c>
      <c r="U66" s="2"/>
      <c r="V66" s="2"/>
      <c r="W66" s="2"/>
      <c r="X66" s="2"/>
      <c r="AD66"/>
      <c r="AE66"/>
      <c r="AF66"/>
      <c r="AG66"/>
      <c r="AH66"/>
      <c r="AI66"/>
      <c r="AJ66"/>
    </row>
    <row r="67" spans="1:36" s="8" customFormat="1">
      <c r="A67" s="8" t="s">
        <v>120</v>
      </c>
      <c r="C67" s="9"/>
      <c r="D67" s="46">
        <f>D8</f>
        <v>2790266147.3560433</v>
      </c>
      <c r="E67" s="9"/>
      <c r="F67" s="46">
        <f>F59+F63</f>
        <v>2435434872</v>
      </c>
      <c r="H67" s="46">
        <f>H59+H63</f>
        <v>1861344592</v>
      </c>
      <c r="J67" s="46">
        <f>J59+J63</f>
        <v>1782497923</v>
      </c>
      <c r="L67" s="46">
        <f>L59+L63</f>
        <v>1507047097</v>
      </c>
      <c r="M67" s="172"/>
      <c r="N67" s="46">
        <f>N59+N63</f>
        <v>1223510222</v>
      </c>
      <c r="O67" s="172"/>
      <c r="P67" s="46">
        <f>P59+P63</f>
        <v>1166956994</v>
      </c>
      <c r="Q67" s="135"/>
      <c r="R67" s="135"/>
      <c r="U67" s="138"/>
      <c r="V67" s="138"/>
      <c r="W67" s="138"/>
      <c r="X67" s="138"/>
      <c r="Y67" s="135"/>
      <c r="Z67" s="135"/>
      <c r="AA67" s="135"/>
    </row>
    <row r="68" spans="1:36">
      <c r="C68" s="1"/>
      <c r="D68" s="1"/>
      <c r="E68" s="1"/>
      <c r="F68" s="4"/>
      <c r="H68" s="4"/>
      <c r="U68" s="2"/>
      <c r="V68" s="2"/>
      <c r="W68" s="2"/>
      <c r="X68" s="2"/>
      <c r="AD68"/>
      <c r="AE68"/>
      <c r="AF68"/>
      <c r="AG68"/>
      <c r="AH68"/>
      <c r="AI68"/>
      <c r="AJ68"/>
    </row>
    <row r="69" spans="1:36">
      <c r="C69" s="1"/>
      <c r="D69" s="1"/>
      <c r="E69" s="1"/>
      <c r="F69" s="4">
        <f>F67-F8</f>
        <v>0</v>
      </c>
      <c r="H69" s="4">
        <f>H67-H8</f>
        <v>0</v>
      </c>
      <c r="J69" s="4">
        <f>J67-J8</f>
        <v>0</v>
      </c>
      <c r="L69" s="4">
        <f>L67-L8</f>
        <v>0</v>
      </c>
      <c r="N69" s="4">
        <f>N67-N8</f>
        <v>0</v>
      </c>
      <c r="P69" s="4">
        <f>P67-P8</f>
        <v>0</v>
      </c>
      <c r="U69" s="2"/>
      <c r="V69" s="2"/>
      <c r="W69" s="2"/>
      <c r="X69" s="2"/>
      <c r="AD69"/>
      <c r="AE69"/>
      <c r="AF69"/>
      <c r="AG69"/>
      <c r="AH69"/>
      <c r="AI69"/>
      <c r="AJ69"/>
    </row>
    <row r="70" spans="1:36">
      <c r="C70" s="1"/>
      <c r="D70" s="1"/>
      <c r="E70" s="1"/>
      <c r="F70"/>
      <c r="H70"/>
      <c r="U70" s="2"/>
      <c r="V70" s="2"/>
      <c r="W70" s="2"/>
      <c r="X70" s="2"/>
      <c r="AD70"/>
      <c r="AE70"/>
      <c r="AF70"/>
      <c r="AG70"/>
      <c r="AH70"/>
      <c r="AI70"/>
      <c r="AJ70"/>
    </row>
    <row r="71" spans="1:36">
      <c r="F71" s="4"/>
      <c r="H71" s="4"/>
      <c r="R71"/>
      <c r="T71" s="2"/>
      <c r="U71" s="2"/>
      <c r="V71" s="2"/>
      <c r="W71" s="2"/>
      <c r="AA71"/>
      <c r="AD71"/>
      <c r="AE71"/>
      <c r="AF71"/>
      <c r="AG71"/>
      <c r="AH71"/>
      <c r="AI71"/>
      <c r="AJ71"/>
    </row>
    <row r="72" spans="1:36">
      <c r="A72" t="s">
        <v>121</v>
      </c>
      <c r="C72" s="1"/>
      <c r="D72" s="1"/>
      <c r="E72" s="1"/>
      <c r="F72" s="63">
        <v>2171007396</v>
      </c>
      <c r="H72" s="4">
        <v>1575536894</v>
      </c>
      <c r="U72" s="2"/>
      <c r="V72" s="2"/>
      <c r="W72" s="2"/>
      <c r="X72" s="2"/>
      <c r="AD72"/>
      <c r="AE72"/>
      <c r="AF72"/>
      <c r="AG72"/>
      <c r="AH72"/>
      <c r="AI72"/>
      <c r="AJ72"/>
    </row>
    <row r="73" spans="1:36">
      <c r="A73" t="s">
        <v>122</v>
      </c>
      <c r="C73" s="1"/>
      <c r="D73" s="1"/>
      <c r="E73" s="1"/>
      <c r="F73" s="63">
        <v>209656409</v>
      </c>
      <c r="H73" s="4">
        <v>219714285</v>
      </c>
      <c r="R73"/>
      <c r="T73" s="2"/>
      <c r="U73" s="2"/>
      <c r="V73" s="2"/>
      <c r="W73" s="2"/>
      <c r="AA73"/>
      <c r="AD73"/>
      <c r="AE73"/>
      <c r="AF73"/>
      <c r="AG73"/>
      <c r="AH73"/>
      <c r="AI73"/>
      <c r="AJ73"/>
    </row>
    <row r="74" spans="1:36">
      <c r="A74" t="s">
        <v>123</v>
      </c>
      <c r="C74" s="1"/>
      <c r="D74" s="1"/>
      <c r="E74" s="1"/>
      <c r="F74" s="63">
        <v>192257312</v>
      </c>
      <c r="H74" s="4">
        <v>169405705</v>
      </c>
      <c r="U74" s="2"/>
      <c r="V74" s="2"/>
      <c r="W74" s="2"/>
      <c r="X74" s="2"/>
      <c r="AD74"/>
      <c r="AE74"/>
      <c r="AF74"/>
      <c r="AG74"/>
      <c r="AH74"/>
      <c r="AI74"/>
      <c r="AJ74"/>
    </row>
    <row r="75" spans="1:36">
      <c r="A75" t="s">
        <v>124</v>
      </c>
      <c r="C75" s="1"/>
      <c r="D75" s="1"/>
      <c r="E75" s="1"/>
      <c r="F75" s="63">
        <f>SUM(F72:F74)</f>
        <v>2572921117</v>
      </c>
      <c r="H75" s="4">
        <f>SUM(H72:H74)</f>
        <v>1964656884</v>
      </c>
      <c r="U75" s="2"/>
      <c r="V75" s="2"/>
      <c r="W75" s="2"/>
      <c r="X75" s="2"/>
      <c r="AD75"/>
      <c r="AE75"/>
      <c r="AF75"/>
      <c r="AG75"/>
      <c r="AH75"/>
      <c r="AI75"/>
      <c r="AJ75"/>
    </row>
    <row r="76" spans="1:36">
      <c r="C76" s="1"/>
      <c r="D76" s="1"/>
      <c r="E76" s="1"/>
      <c r="F76" s="4"/>
      <c r="H76" s="4"/>
      <c r="U76" s="2"/>
      <c r="V76" s="2"/>
      <c r="W76" s="2"/>
      <c r="X76" s="2"/>
      <c r="AD76"/>
      <c r="AE76"/>
      <c r="AF76"/>
      <c r="AG76"/>
      <c r="AH76"/>
      <c r="AI76"/>
      <c r="AJ76"/>
    </row>
    <row r="78" spans="1:36">
      <c r="A78" t="s">
        <v>125</v>
      </c>
      <c r="D78" s="139">
        <v>0.56000000000000005</v>
      </c>
      <c r="F78" s="58">
        <f>F7/F$19</f>
        <v>0.57848650517271161</v>
      </c>
      <c r="H78" s="58">
        <f>H7/H$19</f>
        <v>0.61856143283913945</v>
      </c>
      <c r="J78" s="58">
        <f>J7/J$19</f>
        <v>0.56172060882046415</v>
      </c>
      <c r="L78" s="58">
        <f>L7/L$19</f>
        <v>0.57627347758430247</v>
      </c>
      <c r="N78" s="58">
        <f>N7/N$19</f>
        <v>0.6884526987816959</v>
      </c>
      <c r="P78" s="58">
        <f>P7/P$19</f>
        <v>0.56597020891929006</v>
      </c>
    </row>
    <row r="79" spans="1:36">
      <c r="A79" t="s">
        <v>126</v>
      </c>
      <c r="D79" s="58">
        <f>D8/D$19</f>
        <v>0.55652916387817797</v>
      </c>
      <c r="F79" s="58">
        <f>F8/F$19</f>
        <v>0.55726048692416597</v>
      </c>
      <c r="H79" s="58">
        <f>H8/H$19</f>
        <v>0.44934488080504997</v>
      </c>
      <c r="J79" s="58">
        <f>J8/J$19</f>
        <v>0.513785551705782</v>
      </c>
      <c r="L79" s="58">
        <f>L8/L$19</f>
        <v>0.44560845974711782</v>
      </c>
      <c r="N79" s="58">
        <f>N8/N$19</f>
        <v>0.43227903812297935</v>
      </c>
      <c r="P79" s="58">
        <f>P8/P$19</f>
        <v>0.47873250299135051</v>
      </c>
    </row>
    <row r="80" spans="1:36">
      <c r="A80" t="s">
        <v>127</v>
      </c>
      <c r="D80" s="284">
        <f>((2*F80)+(2*H80)+(2*J80)+L80+N80+P80)/9</f>
        <v>3.1675159115467269E-2</v>
      </c>
      <c r="F80" s="58">
        <f>F6/F$19</f>
        <v>1.9287591123261075E-2</v>
      </c>
      <c r="H80" s="58">
        <f>H6/H$19</f>
        <v>2.1388371511569498E-2</v>
      </c>
      <c r="J80" s="58">
        <f>J6/J$19</f>
        <v>7.3383733430517711E-2</v>
      </c>
      <c r="L80" s="58">
        <f>L6/L$19</f>
        <v>2.771805925615935E-2</v>
      </c>
      <c r="N80" s="58">
        <f>N6/N$19</f>
        <v>1.0653793741181082E-2</v>
      </c>
      <c r="P80" s="58">
        <f>P6/P$19</f>
        <v>1.8585186911168422E-2</v>
      </c>
    </row>
    <row r="81" spans="1:36">
      <c r="A81" t="s">
        <v>128</v>
      </c>
      <c r="D81" s="284">
        <f>((2*F81)+(2*H81)+(2*J81)+L81+N81+P81)/9</f>
        <v>1.4521903008988514E-2</v>
      </c>
      <c r="F81" s="58">
        <f>F5/F$19</f>
        <v>1.1743766422637433E-2</v>
      </c>
      <c r="H81" s="58">
        <f>H5/H$19</f>
        <v>1.3664592058085141E-2</v>
      </c>
      <c r="J81" s="58">
        <f>J5/J$19</f>
        <v>1.1965675042889945E-2</v>
      </c>
      <c r="L81" s="58">
        <f>L5/L$19</f>
        <v>1.905325414645569E-2</v>
      </c>
      <c r="N81" s="58">
        <f>N5/N$19</f>
        <v>1.9973996769378027E-2</v>
      </c>
      <c r="P81" s="58">
        <f>P5/P$19</f>
        <v>1.6921809117837878E-2</v>
      </c>
    </row>
    <row r="82" spans="1:36">
      <c r="A82" t="s">
        <v>68</v>
      </c>
      <c r="D82" s="58">
        <f>D83-SUM(D78:D81)</f>
        <v>8.4037359698809544E-2</v>
      </c>
      <c r="F82" s="58">
        <f>F4/F$19</f>
        <v>0.1052988301672744</v>
      </c>
      <c r="H82" s="58">
        <f>H4/H$19</f>
        <v>0.13217819313212004</v>
      </c>
      <c r="J82" s="58">
        <f>J4/J$19</f>
        <v>8.5323200912032701E-2</v>
      </c>
      <c r="L82" s="58">
        <f>L4/L$19</f>
        <v>0.13047086192026044</v>
      </c>
      <c r="N82" s="58">
        <f>N4/N$19</f>
        <v>0.13259041598777607</v>
      </c>
      <c r="P82" s="58">
        <f>P4/P$19</f>
        <v>0.15080166718063662</v>
      </c>
    </row>
    <row r="83" spans="1:36" s="8" customFormat="1">
      <c r="A83" s="8" t="s">
        <v>129</v>
      </c>
      <c r="D83" s="285">
        <f>((2*F83)+(2*H83)+(2*J83)+L83+N83+P83)/9</f>
        <v>1.2467635857014434</v>
      </c>
      <c r="F83" s="133">
        <f>SUM(F78:F82)</f>
        <v>1.2720771798100505</v>
      </c>
      <c r="H83" s="133">
        <f>SUM(H78:H82)</f>
        <v>1.2351374703459641</v>
      </c>
      <c r="J83" s="133">
        <f>SUM(J78:J82)</f>
        <v>1.2461787699116864</v>
      </c>
      <c r="L83" s="133">
        <f>SUM(L78:L82)</f>
        <v>1.1991241126542957</v>
      </c>
      <c r="M83" s="172"/>
      <c r="N83" s="133">
        <f>SUM(N78:N82)</f>
        <v>1.2839499434030102</v>
      </c>
      <c r="O83" s="172"/>
      <c r="P83" s="133">
        <f>SUM(P78:P82)</f>
        <v>1.2310113751202836</v>
      </c>
      <c r="Q83" s="135"/>
      <c r="R83" s="135"/>
      <c r="U83" s="135"/>
      <c r="V83" s="135"/>
      <c r="W83" s="135"/>
      <c r="X83" s="135"/>
      <c r="Y83" s="135"/>
      <c r="Z83" s="135"/>
      <c r="AA83" s="135"/>
      <c r="AD83" s="138"/>
      <c r="AE83" s="138"/>
      <c r="AF83" s="138"/>
      <c r="AG83" s="138"/>
      <c r="AH83" s="138"/>
      <c r="AI83" s="138"/>
      <c r="AJ83" s="138"/>
    </row>
    <row r="84" spans="1:36">
      <c r="A84" t="s">
        <v>130</v>
      </c>
      <c r="D84" s="3">
        <v>0.115</v>
      </c>
      <c r="F84" s="3">
        <f>'Policy Rate'!D103</f>
        <v>0.18032786885245902</v>
      </c>
      <c r="H84" s="3">
        <f>'Policy Rate'!D112</f>
        <v>0.21386301369863014</v>
      </c>
      <c r="J84" s="3">
        <f>'Policy Rate'!D121</f>
        <v>0.14582876712328768</v>
      </c>
      <c r="L84" s="3">
        <f>'Policy Rate'!D129</f>
        <v>7.7787671232876707E-2</v>
      </c>
      <c r="N84" s="3">
        <f>'Policy Rate'!D141</f>
        <v>8.443989071038252E-2</v>
      </c>
      <c r="P84" s="3">
        <f>'Policy Rate'!D150</f>
        <v>0.12454109589041097</v>
      </c>
    </row>
    <row r="85" spans="1:36">
      <c r="F85"/>
      <c r="H85"/>
      <c r="R85"/>
      <c r="T85" s="3"/>
      <c r="AA85"/>
      <c r="AC85" s="2"/>
      <c r="AJ85"/>
    </row>
    <row r="86" spans="1:36">
      <c r="F86"/>
      <c r="H86"/>
      <c r="R86"/>
      <c r="T86" s="3"/>
      <c r="AA86"/>
      <c r="AC86" s="2"/>
      <c r="AJ86"/>
    </row>
    <row r="87" spans="1:36">
      <c r="A87" s="8" t="s">
        <v>99</v>
      </c>
      <c r="F87"/>
      <c r="H87"/>
      <c r="R87"/>
      <c r="T87" s="3"/>
      <c r="AA87"/>
      <c r="AC87" s="2"/>
      <c r="AJ87"/>
    </row>
    <row r="88" spans="1:36">
      <c r="A88" t="s">
        <v>131</v>
      </c>
      <c r="C88" s="3">
        <f>((2*E88)+(2*G88)+(2*I88)+K88+M88+O88)/9</f>
        <v>0.64083918118528238</v>
      </c>
      <c r="D88" s="4">
        <f>C88*D$91</f>
        <v>361614402.61199391</v>
      </c>
      <c r="E88" s="3">
        <f>F88/F$91</f>
        <v>0.63467472455826524</v>
      </c>
      <c r="F88" s="5">
        <v>283446069</v>
      </c>
      <c r="G88" s="3">
        <f>H88/H$91</f>
        <v>0.526673466496132</v>
      </c>
      <c r="H88" s="5">
        <v>223185544</v>
      </c>
      <c r="I88" s="3">
        <f>J88/J$91</f>
        <v>0.65922999912825708</v>
      </c>
      <c r="J88" s="5">
        <v>222366674</v>
      </c>
      <c r="K88" s="3">
        <f>L88/L$91</f>
        <v>0.71417392668237367</v>
      </c>
      <c r="L88" s="5">
        <v>279741535</v>
      </c>
      <c r="M88" s="3">
        <f>N88/N$91</f>
        <v>0.83261800321175794</v>
      </c>
      <c r="N88" s="5">
        <v>526523839</v>
      </c>
      <c r="O88" s="3">
        <f>P88/P$91</f>
        <v>0.57960432040810173</v>
      </c>
      <c r="P88" s="5">
        <v>350931325</v>
      </c>
      <c r="R88"/>
      <c r="T88" s="3"/>
      <c r="AA88"/>
      <c r="AC88" s="2"/>
      <c r="AJ88"/>
    </row>
    <row r="89" spans="1:36">
      <c r="A89" t="s">
        <v>132</v>
      </c>
      <c r="C89" s="3">
        <f>((2*E89)+(2*G89)+(2*I89)+K89+M89+O89)/9</f>
        <v>0.18259970460541522</v>
      </c>
      <c r="D89" s="4">
        <f>C89*D$91</f>
        <v>103037837.00597839</v>
      </c>
      <c r="E89" s="3">
        <f t="shared" ref="E89:G90" si="13">F89/F$91</f>
        <v>0.15861347464452522</v>
      </c>
      <c r="F89" s="5">
        <v>70836862</v>
      </c>
      <c r="G89" s="3">
        <f t="shared" si="13"/>
        <v>0.20982298356439438</v>
      </c>
      <c r="H89" s="5">
        <v>88915542</v>
      </c>
      <c r="I89" s="3">
        <f>J89/J$91</f>
        <v>1.7425123305824786E-2</v>
      </c>
      <c r="J89" s="5">
        <v>5877716</v>
      </c>
      <c r="K89" s="3">
        <f>L89/L$91</f>
        <v>0.28481208670369057</v>
      </c>
      <c r="L89" s="5">
        <v>111560738</v>
      </c>
      <c r="M89" s="3">
        <f>N89/N$91</f>
        <v>0.16691974314234992</v>
      </c>
      <c r="N89" s="5">
        <v>105555277</v>
      </c>
      <c r="O89" s="3">
        <f>P89/P$91</f>
        <v>0.41994234857320778</v>
      </c>
      <c r="P89" s="5">
        <v>254261260</v>
      </c>
      <c r="R89"/>
      <c r="T89" s="3"/>
      <c r="AA89"/>
      <c r="AC89" s="2"/>
      <c r="AJ89"/>
    </row>
    <row r="90" spans="1:36">
      <c r="A90" t="s">
        <v>133</v>
      </c>
      <c r="C90" s="3">
        <f>((2*E90)+(2*G90)+(2*I90)+K90+M90+O90)/9</f>
        <v>0.17656111420930232</v>
      </c>
      <c r="D90" s="4">
        <f>C90*D$91</f>
        <v>99630365.486103341</v>
      </c>
      <c r="E90" s="3">
        <f t="shared" si="13"/>
        <v>0.20671180079720952</v>
      </c>
      <c r="F90" s="5">
        <v>92317600</v>
      </c>
      <c r="G90" s="3">
        <f t="shared" si="13"/>
        <v>0.26350354993947356</v>
      </c>
      <c r="H90" s="5">
        <v>111663463</v>
      </c>
      <c r="I90" s="3">
        <f>J90/J$91</f>
        <v>0.32334487756591818</v>
      </c>
      <c r="J90" s="5">
        <v>109068345</v>
      </c>
      <c r="K90" s="3">
        <f>L90/L$91</f>
        <v>1.0139866139357954E-3</v>
      </c>
      <c r="L90" s="5">
        <v>397178</v>
      </c>
      <c r="M90" s="3">
        <f>N90/N$91</f>
        <v>4.6225364589208703E-4</v>
      </c>
      <c r="N90" s="5">
        <v>292316</v>
      </c>
      <c r="O90" s="3">
        <f>P90/P$91</f>
        <v>4.5333101869049318E-4</v>
      </c>
      <c r="P90" s="5">
        <v>274477</v>
      </c>
      <c r="R90"/>
      <c r="T90" s="3"/>
      <c r="AA90"/>
      <c r="AC90" s="2"/>
      <c r="AJ90"/>
    </row>
    <row r="91" spans="1:36" s="8" customFormat="1">
      <c r="D91" s="46">
        <v>564282605.10407567</v>
      </c>
      <c r="F91" s="169">
        <f>SUM(F88:F90)</f>
        <v>446600531</v>
      </c>
      <c r="H91" s="169">
        <f>SUM(H88:H90)</f>
        <v>423764549</v>
      </c>
      <c r="J91" s="169">
        <f>SUM(J88:J90)</f>
        <v>337312735</v>
      </c>
      <c r="L91" s="169">
        <f>SUM(L88:L90)</f>
        <v>391699451</v>
      </c>
      <c r="M91" s="172"/>
      <c r="N91" s="169">
        <f>SUM(N88:N90)</f>
        <v>632371432</v>
      </c>
      <c r="O91" s="172"/>
      <c r="P91" s="169">
        <f>SUM(P88:P90)</f>
        <v>605467062</v>
      </c>
      <c r="Q91" s="135"/>
      <c r="T91" s="135"/>
      <c r="U91" s="135"/>
      <c r="V91" s="135"/>
      <c r="W91" s="135"/>
      <c r="X91" s="135"/>
      <c r="Y91" s="135"/>
      <c r="Z91" s="135"/>
      <c r="AC91" s="138"/>
      <c r="AD91" s="138"/>
      <c r="AE91" s="138"/>
      <c r="AF91" s="138"/>
      <c r="AG91" s="138"/>
      <c r="AH91" s="138"/>
      <c r="AI91" s="138"/>
    </row>
    <row r="92" spans="1:36">
      <c r="D92" s="4">
        <f>D39-D91</f>
        <v>39365983.229752064</v>
      </c>
      <c r="F92" s="4">
        <f>F39-F91</f>
        <v>0</v>
      </c>
      <c r="H92" s="4">
        <f>H39-H91</f>
        <v>0</v>
      </c>
      <c r="J92" s="4">
        <f>J39-J91</f>
        <v>0</v>
      </c>
      <c r="L92" s="4">
        <f>L39-L91</f>
        <v>0</v>
      </c>
      <c r="N92" s="4">
        <f>N39-N91</f>
        <v>0</v>
      </c>
      <c r="P92" s="4">
        <f>P39-P91</f>
        <v>0</v>
      </c>
      <c r="R92"/>
      <c r="T92" s="3"/>
      <c r="AA92"/>
      <c r="AC92" s="2"/>
      <c r="AJ92"/>
    </row>
    <row r="93" spans="1:36">
      <c r="R93"/>
      <c r="T93" s="3"/>
      <c r="AA93"/>
      <c r="AC93" s="2"/>
      <c r="AJ93"/>
    </row>
    <row r="94" spans="1:36">
      <c r="A94" s="8" t="s">
        <v>100</v>
      </c>
      <c r="F94"/>
    </row>
    <row r="95" spans="1:36">
      <c r="A95" t="s">
        <v>131</v>
      </c>
      <c r="C95" s="3">
        <f>((2*E95)+(2*G95)+(2*I95)+K95+M95+O95)/9</f>
        <v>0.7431027424540142</v>
      </c>
      <c r="D95" s="4">
        <f>C95*D$98</f>
        <v>1262259061.8548214</v>
      </c>
      <c r="E95" s="3">
        <f>F95/F$98</f>
        <v>0.78050316116669904</v>
      </c>
      <c r="F95" s="5">
        <v>1067225618</v>
      </c>
      <c r="G95" s="3">
        <f>H95/H$98</f>
        <v>0.71558190349565143</v>
      </c>
      <c r="H95" s="5">
        <v>1113990814</v>
      </c>
      <c r="I95" s="3">
        <f>J95/J$98</f>
        <v>0.76113672083438721</v>
      </c>
      <c r="J95" s="5">
        <v>906737321</v>
      </c>
      <c r="K95" s="3">
        <f>L95/L$98</f>
        <v>0.67942226924240878</v>
      </c>
      <c r="L95" s="5">
        <v>801116563</v>
      </c>
      <c r="M95" s="3">
        <f>N95/N$98</f>
        <v>0.76629244817054876</v>
      </c>
      <c r="N95" s="5">
        <v>795183721</v>
      </c>
      <c r="O95" s="3">
        <f>P95/P$98</f>
        <v>0.72776639367969487</v>
      </c>
      <c r="P95" s="5">
        <v>453552332</v>
      </c>
      <c r="R95"/>
      <c r="T95" s="3"/>
      <c r="AA95"/>
      <c r="AC95" s="2"/>
      <c r="AJ95"/>
    </row>
    <row r="96" spans="1:36">
      <c r="A96" t="s">
        <v>132</v>
      </c>
      <c r="C96" s="3">
        <f>((2*E96)+(2*G96)+(2*I96)+K96+M96+O96)/9</f>
        <v>5.1326057167881467E-2</v>
      </c>
      <c r="D96" s="4">
        <f>C96*D$98</f>
        <v>87184149.738817871</v>
      </c>
      <c r="E96" s="3">
        <f t="shared" ref="E96:G97" si="14">F96/F$98</f>
        <v>3.4810237264340071E-2</v>
      </c>
      <c r="F96" s="5">
        <v>47597984</v>
      </c>
      <c r="G96" s="3">
        <f t="shared" si="14"/>
        <v>9.0534687708341471E-2</v>
      </c>
      <c r="H96" s="5">
        <v>140940974</v>
      </c>
      <c r="I96" s="3">
        <f>J96/J$98</f>
        <v>4.3974206721640617E-2</v>
      </c>
      <c r="J96" s="5">
        <v>52386192</v>
      </c>
      <c r="K96" s="3">
        <f>L96/L$98</f>
        <v>7.8289397630809818E-2</v>
      </c>
      <c r="L96" s="5">
        <v>92312154</v>
      </c>
      <c r="M96" s="3">
        <f>N96/N$98</f>
        <v>2.4741573567038093E-2</v>
      </c>
      <c r="N96" s="5">
        <v>25674397</v>
      </c>
      <c r="O96" s="3">
        <f>P96/P$98</f>
        <v>2.0265279924440924E-2</v>
      </c>
      <c r="P96" s="5">
        <v>12629554</v>
      </c>
    </row>
    <row r="97" spans="1:36">
      <c r="A97" t="s">
        <v>133</v>
      </c>
      <c r="C97" s="3">
        <f>((2*E97)+(2*G97)+(2*I97)+K97+M97+O97)/9</f>
        <v>0.20557120037810436</v>
      </c>
      <c r="D97" s="4">
        <f>C97*D$98</f>
        <v>349190085.98557729</v>
      </c>
      <c r="E97" s="3">
        <f t="shared" si="14"/>
        <v>0.18468660156896091</v>
      </c>
      <c r="F97" s="5">
        <v>252532318</v>
      </c>
      <c r="G97" s="3">
        <f t="shared" si="14"/>
        <v>0.1938834087960071</v>
      </c>
      <c r="H97" s="5">
        <v>301830350</v>
      </c>
      <c r="I97" s="3">
        <f>J97/J$98</f>
        <v>0.19488907244397216</v>
      </c>
      <c r="J97" s="5">
        <v>232170109</v>
      </c>
      <c r="K97" s="3">
        <f>L97/L$98</f>
        <v>0.24228833312678141</v>
      </c>
      <c r="L97" s="5">
        <v>285685656</v>
      </c>
      <c r="M97" s="3">
        <f>N97/N$98</f>
        <v>0.20896597826241312</v>
      </c>
      <c r="N97" s="5">
        <v>216844554</v>
      </c>
      <c r="O97" s="3">
        <f>P97/P$98</f>
        <v>0.25196832639586425</v>
      </c>
      <c r="P97" s="5">
        <v>157029540</v>
      </c>
      <c r="R97"/>
      <c r="T97" s="3"/>
      <c r="AA97"/>
      <c r="AC97" s="2"/>
      <c r="AJ97"/>
    </row>
    <row r="98" spans="1:36">
      <c r="D98" s="46">
        <v>1698633297.5792165</v>
      </c>
      <c r="F98" s="169">
        <f>SUM(F95:F97)</f>
        <v>1367355920</v>
      </c>
      <c r="H98" s="169">
        <f>SUM(H95:H97)</f>
        <v>1556762138</v>
      </c>
      <c r="J98" s="169">
        <f>SUM(J95:J97)</f>
        <v>1191293622</v>
      </c>
      <c r="L98" s="169">
        <f>SUM(L95:L97)</f>
        <v>1179114373</v>
      </c>
      <c r="N98" s="169">
        <f>SUM(N95:N97)</f>
        <v>1037702672</v>
      </c>
      <c r="P98" s="169">
        <f>SUM(P95:P97)</f>
        <v>623211426</v>
      </c>
      <c r="R98"/>
      <c r="T98" s="3"/>
      <c r="AA98"/>
      <c r="AC98" s="2"/>
      <c r="AJ98"/>
    </row>
    <row r="99" spans="1:36">
      <c r="D99" s="4">
        <f>D40-D98</f>
        <v>-238646014.1671679</v>
      </c>
      <c r="F99" s="4">
        <f>F40-F98</f>
        <v>0</v>
      </c>
      <c r="H99" s="4">
        <f>H40-H98</f>
        <v>0</v>
      </c>
      <c r="J99" s="4">
        <f>J40-J98</f>
        <v>0</v>
      </c>
      <c r="L99" s="4">
        <f>L40-L98</f>
        <v>0</v>
      </c>
      <c r="N99" s="4">
        <f>N40-N98</f>
        <v>0</v>
      </c>
      <c r="P99" s="4">
        <f>P40-P98</f>
        <v>0</v>
      </c>
    </row>
    <row r="100" spans="1:36">
      <c r="F100"/>
      <c r="H100"/>
      <c r="R100"/>
      <c r="T100" s="3"/>
      <c r="AA100"/>
      <c r="AC100" s="2"/>
      <c r="AJ100"/>
    </row>
    <row r="101" spans="1:36">
      <c r="A101" s="8" t="s">
        <v>101</v>
      </c>
      <c r="F101"/>
      <c r="H101"/>
      <c r="R101"/>
      <c r="T101" s="3"/>
      <c r="AA101"/>
      <c r="AC101" s="2"/>
      <c r="AJ101"/>
    </row>
    <row r="102" spans="1:36">
      <c r="A102" t="s">
        <v>131</v>
      </c>
      <c r="C102" s="3">
        <f>E102</f>
        <v>0.87934813318925975</v>
      </c>
      <c r="D102" s="4">
        <f>C102*D$105</f>
        <v>150850371.55612764</v>
      </c>
      <c r="E102" s="3">
        <f>F102/F$105</f>
        <v>0.87934813318925975</v>
      </c>
      <c r="F102" s="5">
        <v>300205879</v>
      </c>
      <c r="G102" s="3"/>
      <c r="H102" s="5">
        <v>213476351</v>
      </c>
      <c r="I102" s="3"/>
      <c r="J102" s="5">
        <v>122587729</v>
      </c>
      <c r="K102" s="3"/>
      <c r="L102" s="5">
        <v>119080826</v>
      </c>
      <c r="M102" s="3"/>
      <c r="N102" s="5">
        <v>67355950</v>
      </c>
      <c r="O102" s="3"/>
      <c r="P102" s="5">
        <v>4621073</v>
      </c>
      <c r="R102"/>
      <c r="T102" s="3"/>
      <c r="AA102"/>
      <c r="AC102" s="2"/>
      <c r="AJ102"/>
    </row>
    <row r="103" spans="1:36">
      <c r="A103" t="s">
        <v>132</v>
      </c>
      <c r="C103" s="3">
        <f>E103</f>
        <v>3.7830438614242907E-2</v>
      </c>
      <c r="D103" s="4">
        <f>C103*D$105</f>
        <v>6489734.2766764881</v>
      </c>
      <c r="E103" s="3">
        <f>F103/F$105</f>
        <v>3.7830438614242907E-2</v>
      </c>
      <c r="F103" s="5">
        <v>12915158</v>
      </c>
      <c r="G103" s="3"/>
      <c r="H103" s="5">
        <v>7794394</v>
      </c>
      <c r="I103" s="3"/>
      <c r="J103" s="5"/>
      <c r="K103" s="3"/>
      <c r="L103" s="5"/>
      <c r="M103" s="3"/>
      <c r="N103" s="5"/>
      <c r="O103" s="3"/>
      <c r="P103" s="5"/>
    </row>
    <row r="104" spans="1:36">
      <c r="A104" t="s">
        <v>133</v>
      </c>
      <c r="C104" s="3">
        <f>E104</f>
        <v>8.2821428196497335E-2</v>
      </c>
      <c r="D104" s="4">
        <f>C104*D$105</f>
        <v>14207846.408837255</v>
      </c>
      <c r="E104" s="3">
        <f>F104/F$105</f>
        <v>8.2821428196497335E-2</v>
      </c>
      <c r="F104" s="5">
        <v>28274899</v>
      </c>
      <c r="G104" s="3"/>
      <c r="H104" s="5"/>
      <c r="I104" s="3"/>
      <c r="J104" s="5"/>
      <c r="K104" s="3"/>
      <c r="L104" s="5"/>
      <c r="M104" s="3"/>
      <c r="N104" s="5"/>
      <c r="O104" s="3"/>
      <c r="P104" s="5"/>
      <c r="R104"/>
      <c r="T104" s="3"/>
      <c r="AA104"/>
      <c r="AC104" s="2"/>
      <c r="AJ104"/>
    </row>
    <row r="105" spans="1:36">
      <c r="D105" s="46">
        <v>171547952.24164137</v>
      </c>
      <c r="F105" s="169">
        <f>SUM(F102:F104)</f>
        <v>341395936</v>
      </c>
      <c r="H105" s="169">
        <f>SUM(H102:H104)</f>
        <v>221270745</v>
      </c>
      <c r="J105" s="169">
        <f>SUM(J102:J104)</f>
        <v>122587729</v>
      </c>
      <c r="L105" s="169">
        <f>SUM(L102:L104)</f>
        <v>119080826</v>
      </c>
      <c r="N105" s="169">
        <f>SUM(N102:N104)</f>
        <v>67355950</v>
      </c>
      <c r="P105" s="169">
        <f>SUM(P102:P104)</f>
        <v>4621073</v>
      </c>
      <c r="R105"/>
      <c r="T105" s="3"/>
      <c r="AA105"/>
      <c r="AC105" s="2"/>
      <c r="AJ105"/>
    </row>
    <row r="106" spans="1:36">
      <c r="D106" s="4">
        <f>D41-D105</f>
        <v>207585909.04905781</v>
      </c>
      <c r="F106" s="4">
        <f>F41-F105</f>
        <v>0</v>
      </c>
      <c r="H106" s="4">
        <f>H41-H105</f>
        <v>0</v>
      </c>
      <c r="J106" s="4">
        <f>J41-J105</f>
        <v>0</v>
      </c>
      <c r="L106" s="4">
        <f>L41-L105</f>
        <v>0</v>
      </c>
      <c r="N106" s="4">
        <f>N41-N105</f>
        <v>0</v>
      </c>
      <c r="P106" s="4">
        <f>P41-P105</f>
        <v>0</v>
      </c>
      <c r="R106"/>
      <c r="T106" s="3"/>
      <c r="AA106"/>
      <c r="AC106" s="2"/>
      <c r="AJ106"/>
    </row>
    <row r="107" spans="1:36">
      <c r="A107" s="8" t="s">
        <v>134</v>
      </c>
      <c r="D107" s="46"/>
      <c r="F107" s="169"/>
      <c r="H107" s="169"/>
      <c r="J107" s="169"/>
      <c r="L107" s="169"/>
      <c r="N107" s="169"/>
      <c r="P107" s="169"/>
      <c r="R107"/>
      <c r="T107" s="3"/>
      <c r="AA107"/>
      <c r="AC107" s="2"/>
      <c r="AJ107"/>
    </row>
    <row r="108" spans="1:36">
      <c r="A108" t="s">
        <v>131</v>
      </c>
      <c r="C108" s="3">
        <f>((2*E108)+(2*G108)+(2*I108)+K108+M108+O108)/9</f>
        <v>0.87504803294582667</v>
      </c>
      <c r="D108">
        <f>C108*D$111</f>
        <v>152752668.62972939</v>
      </c>
      <c r="E108" s="3">
        <f>F108/F$111</f>
        <v>0.90236845179913783</v>
      </c>
      <c r="F108" s="131">
        <f>177985040+11052424+6459</f>
        <v>189043923</v>
      </c>
      <c r="G108" s="3">
        <f>H108/H$111</f>
        <v>0.90870811271487117</v>
      </c>
      <c r="H108" s="5">
        <f>170658260+5600618+9462</f>
        <v>176268340</v>
      </c>
      <c r="I108" s="3">
        <f>J108/J$111</f>
        <v>0.88411683331571689</v>
      </c>
      <c r="J108" s="5">
        <f>124562876+8107344+5461947+7565</f>
        <v>138139732</v>
      </c>
      <c r="K108" s="3">
        <f>L108/L$111</f>
        <v>0.84704358709086292</v>
      </c>
      <c r="L108" s="131">
        <f>75344603+12577528+6162</f>
        <v>87928293</v>
      </c>
      <c r="M108" s="3">
        <f>N108/N$111</f>
        <v>0.79418031274655743</v>
      </c>
      <c r="N108" s="4">
        <f>45041706+13750422+5592</f>
        <v>58797720</v>
      </c>
      <c r="O108" s="3">
        <f>P108/P$111</f>
        <v>0.84382160101556836</v>
      </c>
      <c r="P108" s="4">
        <f>15699559+34055549+5912+349384</f>
        <v>50110404</v>
      </c>
      <c r="R108"/>
      <c r="T108" s="3"/>
      <c r="AA108"/>
      <c r="AC108" s="2"/>
      <c r="AJ108"/>
    </row>
    <row r="109" spans="1:36">
      <c r="A109" t="s">
        <v>132</v>
      </c>
      <c r="C109" s="3">
        <f>((2*E109)+(2*G109)+(2*I109)+K109+M109+O109)/9</f>
        <v>1.333226032153843E-2</v>
      </c>
      <c r="D109">
        <f t="shared" ref="D109:D110" si="15">C109*D$111</f>
        <v>2327344.6328715184</v>
      </c>
      <c r="E109" s="3">
        <f t="shared" ref="E109:G110" si="16">F109/F$111</f>
        <v>2.0713904792566795E-2</v>
      </c>
      <c r="F109" s="131">
        <v>4339511</v>
      </c>
      <c r="G109" s="3">
        <f t="shared" si="16"/>
        <v>1.4874697446504093E-2</v>
      </c>
      <c r="H109" s="5">
        <v>2885347</v>
      </c>
      <c r="I109" s="3">
        <f t="shared" ref="I109" si="17">J109/J$111</f>
        <v>2.1039871000870007E-2</v>
      </c>
      <c r="J109" s="5">
        <v>3287396</v>
      </c>
      <c r="K109" s="3">
        <f t="shared" ref="K109" si="18">L109/L$111</f>
        <v>3.1740523307579741E-3</v>
      </c>
      <c r="L109" s="131">
        <v>329486</v>
      </c>
      <c r="M109" s="3">
        <f t="shared" ref="M109" si="19">N109/N$111</f>
        <v>1.7081211773272017E-3</v>
      </c>
      <c r="N109" s="4">
        <v>126462</v>
      </c>
      <c r="O109" s="3">
        <f t="shared" ref="O109" si="20">P109/P$111</f>
        <v>1.851222905878917E-3</v>
      </c>
      <c r="P109" s="4">
        <v>109935</v>
      </c>
      <c r="R109"/>
      <c r="T109" s="3"/>
      <c r="AA109"/>
      <c r="AC109" s="2"/>
      <c r="AJ109"/>
    </row>
    <row r="110" spans="1:36">
      <c r="A110" t="s">
        <v>133</v>
      </c>
      <c r="C110" s="3">
        <f>((2*E110)+(2*G110)+(2*I110)+K110+M110+O110)/9</f>
        <v>0.11161970673263484</v>
      </c>
      <c r="D110">
        <f t="shared" si="15"/>
        <v>19484882.467170011</v>
      </c>
      <c r="E110" s="3">
        <f t="shared" si="16"/>
        <v>7.6917643408295391E-2</v>
      </c>
      <c r="F110" s="131">
        <v>16114053</v>
      </c>
      <c r="G110" s="3">
        <f t="shared" si="16"/>
        <v>7.6417189838624708E-2</v>
      </c>
      <c r="H110" s="5">
        <f>14663737+159429</f>
        <v>14823166</v>
      </c>
      <c r="I110" s="3">
        <f t="shared" ref="I110" si="21">J110/J$111</f>
        <v>9.4843295683413112E-2</v>
      </c>
      <c r="J110" s="5">
        <f>14365073+145714+308100</f>
        <v>14818887</v>
      </c>
      <c r="K110" s="3">
        <f t="shared" ref="K110" si="22">L110/L$111</f>
        <v>0.1497823605783791</v>
      </c>
      <c r="L110" s="131">
        <f>14672889+260893+614541</f>
        <v>15548323</v>
      </c>
      <c r="M110" s="3">
        <f t="shared" ref="M110" si="23">N110/N$111</f>
        <v>0.20411156607611533</v>
      </c>
      <c r="N110" s="131">
        <f>13617532+1182691+311326</f>
        <v>15111549</v>
      </c>
      <c r="O110" s="3">
        <f t="shared" ref="O110" si="24">P110/P$111</f>
        <v>0.15432717607855267</v>
      </c>
      <c r="P110" s="131">
        <f>7371115+1280682+512933</f>
        <v>9164730</v>
      </c>
    </row>
    <row r="111" spans="1:36" s="8" customFormat="1">
      <c r="D111" s="169">
        <f>D47</f>
        <v>174564895.72977093</v>
      </c>
      <c r="F111" s="169">
        <f>SUM(F108:F110)</f>
        <v>209497487</v>
      </c>
      <c r="H111" s="169">
        <f>SUM(H108:H110)</f>
        <v>193976853</v>
      </c>
      <c r="J111" s="169">
        <f>SUM(J108:J110)</f>
        <v>156246015</v>
      </c>
      <c r="L111" s="169">
        <f>SUM(L108:L110)</f>
        <v>103806102</v>
      </c>
      <c r="M111" s="172"/>
      <c r="N111" s="169">
        <f>SUM(N108:N110)</f>
        <v>74035731</v>
      </c>
      <c r="O111" s="172"/>
      <c r="P111" s="169">
        <f>SUM(P108:P110)</f>
        <v>59385069</v>
      </c>
      <c r="Q111" s="135"/>
      <c r="R111" s="135"/>
      <c r="U111" s="135"/>
      <c r="V111" s="135"/>
      <c r="W111" s="135"/>
      <c r="X111" s="135"/>
      <c r="Y111" s="135"/>
      <c r="Z111" s="135"/>
      <c r="AA111" s="135"/>
      <c r="AD111" s="138"/>
      <c r="AE111" s="138"/>
      <c r="AF111" s="138"/>
      <c r="AG111" s="138"/>
      <c r="AH111" s="138"/>
      <c r="AI111" s="138"/>
      <c r="AJ111" s="138"/>
    </row>
    <row r="112" spans="1:36">
      <c r="D112" s="4">
        <f>D111-D47</f>
        <v>0</v>
      </c>
      <c r="F112" s="4">
        <f>F111-F47</f>
        <v>0</v>
      </c>
      <c r="H112" s="4">
        <f>H111-H47</f>
        <v>0</v>
      </c>
      <c r="J112" s="4">
        <f>J111-J47</f>
        <v>0</v>
      </c>
      <c r="L112" s="4">
        <f>L111-L47</f>
        <v>0</v>
      </c>
      <c r="N112" s="4">
        <f>N111-N47</f>
        <v>0</v>
      </c>
      <c r="P112" s="4">
        <f>P111-P47</f>
        <v>0</v>
      </c>
    </row>
    <row r="113" spans="1:36">
      <c r="A113" s="8" t="s">
        <v>106</v>
      </c>
      <c r="D113" s="4"/>
      <c r="F113" s="4"/>
      <c r="H113" s="4"/>
      <c r="J113" s="4"/>
      <c r="L113" s="4"/>
      <c r="N113" s="4"/>
      <c r="P113" s="4"/>
    </row>
    <row r="114" spans="1:36">
      <c r="A114" t="s">
        <v>131</v>
      </c>
      <c r="C114" s="3">
        <f>E114</f>
        <v>0.64094119711471764</v>
      </c>
      <c r="D114" s="5">
        <f>C114*D$117</f>
        <v>58297844.900315858</v>
      </c>
      <c r="E114" s="3">
        <f>F114/F$117</f>
        <v>0.64094119711471764</v>
      </c>
      <c r="F114" s="4">
        <f>47551020+604922</f>
        <v>48155942</v>
      </c>
      <c r="G114" s="3">
        <f>H114/H$117</f>
        <v>0.67190113229615334</v>
      </c>
      <c r="H114" s="4">
        <f>49614767+2234126</f>
        <v>51848893</v>
      </c>
      <c r="I114" s="3">
        <f>J114/J$117</f>
        <v>0.71934100703481396</v>
      </c>
      <c r="J114" s="4">
        <f>49084350+2267322</f>
        <v>51351672</v>
      </c>
      <c r="K114" s="3">
        <f>L114/L$117</f>
        <v>0.67958667063639533</v>
      </c>
      <c r="L114" s="4">
        <f>52060015+1425000</f>
        <v>53485015</v>
      </c>
      <c r="M114" s="3">
        <f>N114/N$117</f>
        <v>0.6877596999215394</v>
      </c>
      <c r="N114" s="4">
        <f>47265405+1423501</f>
        <v>48688906</v>
      </c>
      <c r="O114" s="3">
        <f>P114/P$117</f>
        <v>0.12782756916159715</v>
      </c>
      <c r="P114" s="4">
        <f>1722749+2015257</f>
        <v>3738006</v>
      </c>
    </row>
    <row r="115" spans="1:36">
      <c r="A115" t="s">
        <v>132</v>
      </c>
      <c r="C115" s="3">
        <f>E115</f>
        <v>4.6477729336233092E-2</v>
      </c>
      <c r="D115" s="5">
        <f t="shared" ref="D115:D116" si="25">C115*D$117</f>
        <v>4227457.1651190231</v>
      </c>
      <c r="E115" s="3">
        <f t="shared" ref="E115:G116" si="26">F115/F$117</f>
        <v>4.6477729336233092E-2</v>
      </c>
      <c r="F115" s="4">
        <f>2691019+801000</f>
        <v>3492019</v>
      </c>
      <c r="G115" s="3">
        <f t="shared" si="26"/>
        <v>0</v>
      </c>
      <c r="H115" s="4"/>
      <c r="I115" s="3">
        <f t="shared" ref="I115" si="27">J115/J$117</f>
        <v>0</v>
      </c>
      <c r="J115" s="4"/>
      <c r="K115" s="3">
        <f t="shared" ref="K115" si="28">L115/L$117</f>
        <v>0</v>
      </c>
      <c r="L115" s="4"/>
      <c r="M115" s="3">
        <f t="shared" ref="M115" si="29">N115/N$117</f>
        <v>0</v>
      </c>
      <c r="N115" s="4"/>
      <c r="O115" s="3">
        <f t="shared" ref="O115" si="30">P115/P$117</f>
        <v>0</v>
      </c>
      <c r="P115" s="4"/>
    </row>
    <row r="116" spans="1:36">
      <c r="A116" t="s">
        <v>133</v>
      </c>
      <c r="C116" s="3">
        <f>E116</f>
        <v>0.31258107354904924</v>
      </c>
      <c r="D116" s="5">
        <f t="shared" si="25"/>
        <v>28431317.922095001</v>
      </c>
      <c r="E116" s="3">
        <f t="shared" si="26"/>
        <v>0.31258107354904924</v>
      </c>
      <c r="F116" s="4">
        <f>899081+22586125</f>
        <v>23485206</v>
      </c>
      <c r="G116" s="3">
        <f t="shared" si="26"/>
        <v>0.32809886770384672</v>
      </c>
      <c r="H116" s="4">
        <f>1899450+23419101</f>
        <v>25318551</v>
      </c>
      <c r="I116" s="3">
        <f t="shared" ref="I116" si="31">J116/J$117</f>
        <v>0.28065899296518609</v>
      </c>
      <c r="J116" s="4">
        <f>1733442+18301991</f>
        <v>20035433</v>
      </c>
      <c r="K116" s="3">
        <f t="shared" ref="K116" si="32">L116/L$117</f>
        <v>0.32041332936360467</v>
      </c>
      <c r="L116" s="4">
        <f>2365422+22851835</f>
        <v>25217257</v>
      </c>
      <c r="M116" s="3">
        <f t="shared" ref="M116" si="33">N116/N$117</f>
        <v>0.3122403000784606</v>
      </c>
      <c r="N116" s="4">
        <f>4277922+17826657</f>
        <v>22104579</v>
      </c>
      <c r="O116" s="3">
        <f t="shared" ref="O116" si="34">P116/P$117</f>
        <v>0.8721724308384029</v>
      </c>
      <c r="P116" s="4">
        <f>5799373+19705186</f>
        <v>25504559</v>
      </c>
    </row>
    <row r="117" spans="1:36" s="8" customFormat="1">
      <c r="D117" s="169">
        <f>D46</f>
        <v>90956619.987529889</v>
      </c>
      <c r="F117" s="169">
        <f>SUM(F114:F116)</f>
        <v>75133167</v>
      </c>
      <c r="H117" s="169">
        <f>SUM(H114:H116)</f>
        <v>77167444</v>
      </c>
      <c r="J117" s="169">
        <f>SUM(J114:J116)</f>
        <v>71387105</v>
      </c>
      <c r="L117" s="169">
        <f>SUM(L114:L116)</f>
        <v>78702272</v>
      </c>
      <c r="M117" s="172"/>
      <c r="N117" s="169">
        <f>SUM(N114:N116)</f>
        <v>70793485</v>
      </c>
      <c r="O117" s="172"/>
      <c r="P117" s="169">
        <f>SUM(P114:P116)</f>
        <v>29242565</v>
      </c>
      <c r="Q117" s="135"/>
      <c r="R117" s="135"/>
      <c r="U117" s="135"/>
      <c r="V117" s="135"/>
      <c r="W117" s="135"/>
      <c r="X117" s="135"/>
      <c r="Y117" s="135"/>
      <c r="Z117" s="135"/>
      <c r="AA117" s="135"/>
      <c r="AD117" s="138"/>
      <c r="AE117" s="138"/>
      <c r="AF117" s="138"/>
      <c r="AG117" s="138"/>
      <c r="AH117" s="138"/>
      <c r="AI117" s="138"/>
      <c r="AJ117" s="138"/>
    </row>
    <row r="118" spans="1:36">
      <c r="D118" s="4">
        <f>D117-D46</f>
        <v>0</v>
      </c>
      <c r="F118" s="4">
        <f>F117-F46</f>
        <v>0</v>
      </c>
      <c r="H118" s="4">
        <f>H117-H46</f>
        <v>0</v>
      </c>
      <c r="J118" s="4">
        <f>J117-J46</f>
        <v>0</v>
      </c>
      <c r="L118" s="4">
        <f>L117-L46</f>
        <v>0</v>
      </c>
      <c r="N118" s="4">
        <f>N117-N46</f>
        <v>0</v>
      </c>
      <c r="P118" s="4">
        <f>P117-P46</f>
        <v>0</v>
      </c>
    </row>
    <row r="119" spans="1:36">
      <c r="A119" s="8" t="s">
        <v>135</v>
      </c>
      <c r="D119" s="4"/>
      <c r="F119" s="4"/>
      <c r="H119" s="4"/>
      <c r="J119" s="4"/>
      <c r="L119" s="4"/>
      <c r="N119" s="4"/>
      <c r="P119" s="4"/>
    </row>
    <row r="120" spans="1:36">
      <c r="A120" t="s">
        <v>131</v>
      </c>
      <c r="C120" s="3">
        <f>((2*E120)+(2*G120)+(2*I120)+K120+M120+O120)/9</f>
        <v>0.76784717473390707</v>
      </c>
      <c r="D120" s="5">
        <f>C120*D$123</f>
        <v>36804699.317326106</v>
      </c>
      <c r="E120" s="3">
        <f>F120/F$123</f>
        <v>0.73967609108475718</v>
      </c>
      <c r="F120" s="4">
        <f>11859077+20517673+881537+108750</f>
        <v>33367037</v>
      </c>
      <c r="G120" s="3">
        <f>H120/H$123</f>
        <v>0.88259697872732101</v>
      </c>
      <c r="H120" s="4">
        <f>17284164+5543158+16416354+68700+5235474+1575000</f>
        <v>46122850</v>
      </c>
      <c r="I120" s="3">
        <f>J120/J$123</f>
        <v>0.8310115538165066</v>
      </c>
      <c r="J120" s="4">
        <f>8460553+4686060+3988190+5253170+68200+1575000</f>
        <v>24031173</v>
      </c>
      <c r="K120" s="3">
        <f>L120/L$123</f>
        <v>0.72631025883136202</v>
      </c>
      <c r="L120" s="4">
        <f>16469281+1016120+6635931+5281614+60800</f>
        <v>29463746</v>
      </c>
      <c r="M120" s="3">
        <f>N120/N$123</f>
        <v>0.67413187261617002</v>
      </c>
      <c r="N120" s="4">
        <f>11397805+530538+5838780+4812203+53000</f>
        <v>22632326</v>
      </c>
      <c r="O120" s="3">
        <f>P120/P$123</f>
        <v>0.6036131939004612</v>
      </c>
      <c r="P120" s="4">
        <f>4983230+6653529+4737768+62450</f>
        <v>16436977</v>
      </c>
    </row>
    <row r="121" spans="1:36">
      <c r="A121" t="s">
        <v>132</v>
      </c>
      <c r="C121" s="3">
        <f>((2*E121)+(2*G121)+(2*I121)+K121+M121+O121)/9</f>
        <v>5.3247723401021956E-2</v>
      </c>
      <c r="D121" s="5">
        <f t="shared" ref="D121:D122" si="35">C121*D$123</f>
        <v>2552287.1133645931</v>
      </c>
      <c r="E121" s="3">
        <f t="shared" ref="E121:G122" si="36">F121/F$123</f>
        <v>0.23156967839920323</v>
      </c>
      <c r="F121" s="4">
        <f>2580725+4496354+3369107</f>
        <v>10446186</v>
      </c>
      <c r="G121" s="3">
        <f t="shared" si="36"/>
        <v>2.0606753669430446E-3</v>
      </c>
      <c r="H121" s="4">
        <v>107687</v>
      </c>
      <c r="I121" s="3">
        <f t="shared" ref="I121" si="37">J121/J$123</f>
        <v>3.1468314674985738E-6</v>
      </c>
      <c r="J121" s="4">
        <v>91</v>
      </c>
      <c r="K121" s="3">
        <f t="shared" ref="K121" si="38">L121/L$123</f>
        <v>7.6070463943305111E-3</v>
      </c>
      <c r="L121" s="4">
        <v>308590</v>
      </c>
      <c r="M121" s="3">
        <f t="shared" ref="M121" si="39">N121/N$123</f>
        <v>4.3554630196395569E-3</v>
      </c>
      <c r="N121" s="4">
        <v>146224</v>
      </c>
      <c r="O121" s="3">
        <f t="shared" ref="O121" si="40">P121/P$123</f>
        <v>0</v>
      </c>
      <c r="P121" s="4"/>
    </row>
    <row r="122" spans="1:36">
      <c r="A122" t="s">
        <v>133</v>
      </c>
      <c r="C122" s="3">
        <f>((2*E122)+(2*G122)+(2*I122)+K122+M122+O122)/9</f>
        <v>0.17890510186507108</v>
      </c>
      <c r="D122" s="5">
        <f t="shared" si="35"/>
        <v>8575337.2508811727</v>
      </c>
      <c r="E122" s="3">
        <f t="shared" si="36"/>
        <v>2.8754230516039606E-2</v>
      </c>
      <c r="F122" s="4">
        <v>1297113</v>
      </c>
      <c r="G122" s="3">
        <f t="shared" si="36"/>
        <v>0.11534234590573597</v>
      </c>
      <c r="H122" s="4">
        <f>6027573</f>
        <v>6027573</v>
      </c>
      <c r="I122" s="3">
        <f t="shared" ref="I122" si="41">J122/J$123</f>
        <v>0.16898529935202591</v>
      </c>
      <c r="J122" s="4">
        <v>4886713</v>
      </c>
      <c r="K122" s="3">
        <f t="shared" ref="K122" si="42">L122/L$123</f>
        <v>0.26608269477430746</v>
      </c>
      <c r="L122" s="4">
        <v>10794000</v>
      </c>
      <c r="M122" s="3">
        <f t="shared" ref="M122" si="43">N122/N$123</f>
        <v>0.3215126643641904</v>
      </c>
      <c r="N122" s="4">
        <v>10794000</v>
      </c>
      <c r="O122" s="3">
        <f t="shared" ref="O122" si="44">P122/P$123</f>
        <v>0.39638680609953875</v>
      </c>
      <c r="P122" s="4">
        <v>10794000</v>
      </c>
    </row>
    <row r="123" spans="1:36">
      <c r="D123" s="169">
        <f>D42+D43+D45+D49</f>
        <v>47932323.681571864</v>
      </c>
      <c r="F123" s="169">
        <f>SUM(F120:F122)</f>
        <v>45110336</v>
      </c>
      <c r="H123" s="169">
        <f>SUM(H120:H122)</f>
        <v>52258110</v>
      </c>
      <c r="J123" s="169">
        <f>SUM(J120:J122)</f>
        <v>28917977</v>
      </c>
      <c r="L123" s="169">
        <f>SUM(L120:L122)</f>
        <v>40566336</v>
      </c>
      <c r="N123" s="169">
        <f>SUM(N120:N122)</f>
        <v>33572550</v>
      </c>
      <c r="P123" s="169">
        <f>SUM(P120:P122)</f>
        <v>27230977</v>
      </c>
    </row>
    <row r="124" spans="1:36">
      <c r="D124" s="4">
        <f>D42+D43+D45+D49-D123</f>
        <v>0</v>
      </c>
      <c r="F124" s="4">
        <f>F42+F43+F45+F49-F123</f>
        <v>0</v>
      </c>
      <c r="H124" s="4">
        <f>H42+H43+H45+H49-H123</f>
        <v>0</v>
      </c>
      <c r="J124" s="4">
        <f>J42+J43+J45+J49-J123</f>
        <v>0</v>
      </c>
      <c r="L124" s="4">
        <f>L42+L43+L45+L49-L123</f>
        <v>0</v>
      </c>
      <c r="N124" s="4">
        <f>N42+N43+N45+N49-N123</f>
        <v>0</v>
      </c>
      <c r="P124" s="4">
        <f>P42+P43+P45+P49-P123</f>
        <v>0</v>
      </c>
    </row>
    <row r="125" spans="1:36">
      <c r="D125" s="4"/>
      <c r="F125" s="4"/>
      <c r="H125" s="4"/>
      <c r="J125" s="4"/>
      <c r="L125" s="4"/>
      <c r="N125" s="4"/>
      <c r="P125" s="4"/>
    </row>
    <row r="126" spans="1:36">
      <c r="A126" t="s">
        <v>136</v>
      </c>
      <c r="R126"/>
      <c r="T126" s="3"/>
      <c r="AA126"/>
      <c r="AC126" s="2"/>
      <c r="AJ126"/>
    </row>
    <row r="127" spans="1:36">
      <c r="A127" t="s">
        <v>137</v>
      </c>
      <c r="F127" s="5">
        <v>149238397</v>
      </c>
      <c r="H127" s="63">
        <v>240363621</v>
      </c>
      <c r="J127" s="5">
        <v>61635785</v>
      </c>
      <c r="K127" s="5"/>
      <c r="L127" s="5">
        <v>204443722</v>
      </c>
    </row>
    <row r="128" spans="1:36">
      <c r="A128" t="s">
        <v>138</v>
      </c>
      <c r="F128" s="5">
        <v>1263203</v>
      </c>
      <c r="H128" s="63">
        <v>280323</v>
      </c>
      <c r="J128" s="5">
        <v>-84390</v>
      </c>
      <c r="K128" s="5"/>
      <c r="L128" s="5">
        <v>67246</v>
      </c>
      <c r="R128"/>
      <c r="T128" s="3"/>
      <c r="AA128"/>
      <c r="AC128" s="2"/>
      <c r="AJ128"/>
    </row>
    <row r="129" spans="1:36" s="8" customFormat="1">
      <c r="A129" s="8" t="s">
        <v>139</v>
      </c>
      <c r="D129" s="169">
        <f>D89+D96+D103+D50+D109+D115+D121</f>
        <v>206820192.08866927</v>
      </c>
      <c r="F129" s="46">
        <v>150501600</v>
      </c>
      <c r="H129" s="154">
        <v>240643944</v>
      </c>
      <c r="J129" s="46">
        <v>61551395</v>
      </c>
      <c r="K129" s="46"/>
      <c r="L129" s="46">
        <v>204510968</v>
      </c>
      <c r="M129" s="172"/>
      <c r="N129" s="135"/>
      <c r="O129" s="172"/>
      <c r="P129" s="135"/>
      <c r="Q129" s="135"/>
      <c r="R129" s="135"/>
      <c r="U129" s="135"/>
      <c r="V129" s="135"/>
      <c r="W129" s="135"/>
      <c r="X129" s="135"/>
      <c r="Y129" s="135"/>
      <c r="Z129" s="135"/>
      <c r="AA129" s="135"/>
      <c r="AD129" s="138"/>
      <c r="AE129" s="138"/>
      <c r="AF129" s="138"/>
      <c r="AG129" s="138"/>
      <c r="AH129" s="138"/>
      <c r="AI129" s="138"/>
      <c r="AJ129" s="138"/>
    </row>
    <row r="130" spans="1:36">
      <c r="F130"/>
    </row>
    <row r="131" spans="1:36">
      <c r="A131" t="s">
        <v>140</v>
      </c>
      <c r="F131"/>
    </row>
    <row r="132" spans="1:36">
      <c r="A132" t="s">
        <v>137</v>
      </c>
      <c r="F132" s="5">
        <v>1893644750</v>
      </c>
      <c r="H132" s="5">
        <v>1867607354</v>
      </c>
      <c r="J132" s="63">
        <v>1519215081</v>
      </c>
      <c r="L132" s="5">
        <v>1379395410</v>
      </c>
    </row>
    <row r="133" spans="1:36">
      <c r="A133" t="s">
        <v>141</v>
      </c>
      <c r="F133" s="5">
        <v>-4898390</v>
      </c>
      <c r="H133" s="5">
        <v>-9860941</v>
      </c>
      <c r="J133" s="63">
        <v>-8530124</v>
      </c>
      <c r="L133" s="5">
        <v>-4131781</v>
      </c>
    </row>
    <row r="134" spans="1:36">
      <c r="A134" t="s">
        <v>138</v>
      </c>
      <c r="F134" s="5">
        <v>32792492</v>
      </c>
      <c r="H134" s="5">
        <v>-31886996</v>
      </c>
      <c r="J134" s="63">
        <v>-44446694</v>
      </c>
      <c r="L134" s="5">
        <v>-3549393</v>
      </c>
    </row>
    <row r="135" spans="1:36" s="8" customFormat="1">
      <c r="A135" s="8" t="s">
        <v>139</v>
      </c>
      <c r="D135" s="169">
        <f>D88+D95+D102+D48+D108+D114+D120</f>
        <v>2022651870.1221805</v>
      </c>
      <c r="F135" s="154">
        <v>1921538852</v>
      </c>
      <c r="H135" s="46">
        <v>1825859417</v>
      </c>
      <c r="J135" s="154">
        <v>1466238263</v>
      </c>
      <c r="L135" s="46">
        <v>1371714236</v>
      </c>
      <c r="M135" s="172"/>
      <c r="N135" s="135"/>
      <c r="O135" s="172"/>
      <c r="P135" s="135"/>
      <c r="Q135" s="135"/>
      <c r="R135" s="135"/>
      <c r="U135" s="135"/>
      <c r="V135" s="135"/>
      <c r="W135" s="135"/>
      <c r="X135" s="135"/>
      <c r="Y135" s="135"/>
      <c r="Z135" s="135"/>
      <c r="AA135" s="135"/>
      <c r="AD135" s="138"/>
      <c r="AE135" s="138"/>
      <c r="AF135" s="138"/>
      <c r="AG135" s="138"/>
      <c r="AH135" s="138"/>
      <c r="AI135" s="138"/>
      <c r="AJ135" s="138"/>
    </row>
    <row r="137" spans="1:36">
      <c r="A137" t="s">
        <v>142</v>
      </c>
    </row>
    <row r="138" spans="1:36">
      <c r="A138" t="s">
        <v>137</v>
      </c>
      <c r="F138" s="5">
        <v>414677530</v>
      </c>
      <c r="H138" s="5">
        <v>460085932</v>
      </c>
      <c r="J138" s="63">
        <v>381374276</v>
      </c>
      <c r="L138" s="5">
        <v>337669034</v>
      </c>
    </row>
    <row r="139" spans="1:36">
      <c r="A139" t="s">
        <v>141</v>
      </c>
      <c r="F139" s="5">
        <v>-656341</v>
      </c>
      <c r="H139" s="5">
        <v>-422829</v>
      </c>
      <c r="J139" s="63">
        <v>-394789</v>
      </c>
      <c r="L139" s="5">
        <v>-26620</v>
      </c>
    </row>
    <row r="140" spans="1:36" s="8" customFormat="1">
      <c r="A140" s="8" t="s">
        <v>139</v>
      </c>
      <c r="D140" s="169">
        <f>D90+D97+D104+D110+D116+D122</f>
        <v>519519835.5206641</v>
      </c>
      <c r="F140" s="46">
        <v>414021189</v>
      </c>
      <c r="H140" s="46">
        <v>459663103</v>
      </c>
      <c r="J140" s="154">
        <v>380979487</v>
      </c>
      <c r="L140" s="46">
        <v>337642414</v>
      </c>
      <c r="M140" s="172"/>
      <c r="N140" s="135"/>
      <c r="O140" s="172"/>
      <c r="P140" s="135"/>
      <c r="Q140" s="135"/>
      <c r="R140" s="135"/>
      <c r="U140" s="135"/>
      <c r="V140" s="135"/>
      <c r="W140" s="135"/>
      <c r="X140" s="135"/>
      <c r="Y140" s="135"/>
      <c r="Z140" s="135"/>
      <c r="AA140" s="135"/>
      <c r="AD140" s="138"/>
      <c r="AE140" s="138"/>
      <c r="AF140" s="138"/>
      <c r="AG140" s="138"/>
      <c r="AH140" s="138"/>
      <c r="AI140" s="138"/>
      <c r="AJ140" s="138"/>
    </row>
    <row r="142" spans="1:36">
      <c r="A142" s="8" t="s">
        <v>143</v>
      </c>
      <c r="D142" s="5">
        <f>D51</f>
        <v>50370076.872322433</v>
      </c>
      <c r="F142" s="5">
        <f>F51</f>
        <v>42138798</v>
      </c>
      <c r="H142" s="5">
        <f>H51</f>
        <v>36132623</v>
      </c>
      <c r="J142" s="5">
        <f>J51</f>
        <v>40031897</v>
      </c>
      <c r="L142" s="5">
        <f>L51</f>
        <v>35088360</v>
      </c>
      <c r="N142" s="5">
        <f>N51</f>
        <v>31798363</v>
      </c>
      <c r="P142" s="5">
        <f>P51</f>
        <v>30362003</v>
      </c>
    </row>
    <row r="143" spans="1:36">
      <c r="J143" s="1"/>
      <c r="L143" s="1"/>
      <c r="N143" s="1"/>
      <c r="P143" s="1"/>
    </row>
    <row r="144" spans="1:36">
      <c r="A144" s="8" t="s">
        <v>144</v>
      </c>
      <c r="D144" s="5">
        <f>D142+D140+D135+D129</f>
        <v>2799361974.6038365</v>
      </c>
      <c r="F144" s="5">
        <f>F142+F140+F135+F129</f>
        <v>2528200439</v>
      </c>
      <c r="H144" s="5">
        <f>H142+H140+H135+H129</f>
        <v>2562299087</v>
      </c>
      <c r="J144" s="5">
        <f>J142+J140+J135+J129</f>
        <v>1948801042</v>
      </c>
      <c r="L144" s="5">
        <f>L142+L140+L135+L129</f>
        <v>1948955978</v>
      </c>
      <c r="N144" s="5">
        <f>N142+N140+N135+N129</f>
        <v>31798363</v>
      </c>
      <c r="P144" s="5">
        <f>P142+P140+P135+P129</f>
        <v>30362003</v>
      </c>
    </row>
    <row r="145" spans="4:16">
      <c r="D145" s="5">
        <f>D144-D52</f>
        <v>-8305878.111641407</v>
      </c>
      <c r="F145" s="2">
        <f>F144-F52</f>
        <v>0</v>
      </c>
      <c r="H145" s="2">
        <f>H144-H52</f>
        <v>0</v>
      </c>
      <c r="J145" s="5">
        <f>J144-J52</f>
        <v>0</v>
      </c>
      <c r="K145" s="4"/>
      <c r="L145" s="5">
        <f>L144-L52</f>
        <v>0</v>
      </c>
      <c r="M145" s="309"/>
      <c r="N145" s="5">
        <f>N144-N52</f>
        <v>-1916778459</v>
      </c>
      <c r="O145" s="309"/>
      <c r="P145" s="5">
        <f>P144-P52</f>
        <v>-1349245376</v>
      </c>
    </row>
  </sheetData>
  <phoneticPr fontId="3"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CACF-4F65-4ADA-8D6A-A7F9D664407C}">
  <dimension ref="A1:AK155"/>
  <sheetViews>
    <sheetView showGridLines="0" workbookViewId="0">
      <pane xSplit="2" ySplit="2" topLeftCell="C8" activePane="bottomRight" state="frozen"/>
      <selection pane="bottomRight" activeCell="F88" sqref="F88"/>
      <selection pane="bottomLeft" activeCell="A3" sqref="A3"/>
      <selection pane="topRight" activeCell="N1" sqref="N1"/>
    </sheetView>
  </sheetViews>
  <sheetFormatPr defaultRowHeight="14.45"/>
  <cols>
    <col min="1" max="1" width="63.7109375" customWidth="1"/>
    <col min="2" max="2" width="4.28515625" customWidth="1"/>
    <col min="3" max="3" width="16" bestFit="1" customWidth="1"/>
    <col min="4" max="4" width="13.85546875" customWidth="1"/>
    <col min="5" max="5" width="9.5703125" customWidth="1"/>
    <col min="6" max="6" width="14.85546875" bestFit="1" customWidth="1"/>
    <col min="7" max="7" width="10" customWidth="1"/>
    <col min="8" max="8" width="13.85546875" customWidth="1"/>
    <col min="9" max="9" width="9.140625" bestFit="1" customWidth="1"/>
    <col min="10" max="10" width="13.85546875" customWidth="1"/>
    <col min="11" max="11" width="9" customWidth="1"/>
    <col min="12" max="12" width="13.85546875" customWidth="1"/>
    <col min="13" max="13" width="8.5703125" customWidth="1"/>
    <col min="14" max="14" width="13.85546875" customWidth="1"/>
    <col min="15" max="15" width="8.140625" bestFit="1" customWidth="1"/>
    <col min="16" max="16" width="13.85546875" customWidth="1"/>
  </cols>
  <sheetData>
    <row r="1" spans="1:16">
      <c r="A1" s="33" t="s">
        <v>0</v>
      </c>
      <c r="B1" s="40"/>
      <c r="D1" s="34" t="s">
        <v>1</v>
      </c>
      <c r="F1" s="34" t="s">
        <v>1</v>
      </c>
      <c r="G1" s="41"/>
      <c r="H1" s="34" t="s">
        <v>1</v>
      </c>
      <c r="I1" s="41"/>
      <c r="J1" s="34" t="s">
        <v>1</v>
      </c>
      <c r="K1" s="41"/>
      <c r="L1" s="34" t="s">
        <v>1</v>
      </c>
      <c r="N1" s="34" t="s">
        <v>1</v>
      </c>
      <c r="P1" s="34" t="s">
        <v>1</v>
      </c>
    </row>
    <row r="2" spans="1:16">
      <c r="A2" s="33" t="s">
        <v>145</v>
      </c>
      <c r="B2" s="40"/>
      <c r="D2" s="35" t="s">
        <v>3</v>
      </c>
      <c r="F2" s="35">
        <v>24</v>
      </c>
      <c r="G2" s="42"/>
      <c r="H2" s="35">
        <v>23</v>
      </c>
      <c r="I2" s="41"/>
      <c r="J2" s="35">
        <v>22</v>
      </c>
      <c r="K2" s="41"/>
      <c r="L2" s="35">
        <v>21</v>
      </c>
      <c r="N2" s="35">
        <v>20</v>
      </c>
      <c r="P2" s="35">
        <v>19</v>
      </c>
    </row>
    <row r="3" spans="1:16">
      <c r="A3" s="27" t="s">
        <v>146</v>
      </c>
      <c r="D3" s="60">
        <f>D45</f>
        <v>603578892.27079022</v>
      </c>
      <c r="F3" s="60">
        <v>813192081</v>
      </c>
      <c r="H3" s="60">
        <v>712345078</v>
      </c>
      <c r="J3" s="60">
        <v>436101037</v>
      </c>
      <c r="K3" s="5"/>
      <c r="L3" s="60">
        <v>262253962</v>
      </c>
      <c r="N3" s="60">
        <v>271237258</v>
      </c>
      <c r="P3" s="60">
        <v>258113896</v>
      </c>
    </row>
    <row r="4" spans="1:16">
      <c r="A4" s="28" t="s">
        <v>147</v>
      </c>
      <c r="D4" s="61">
        <f>'National Deposits'!C95</f>
        <v>335071737.02885759</v>
      </c>
      <c r="F4" s="61">
        <v>567569845</v>
      </c>
      <c r="H4" s="61">
        <v>470212037</v>
      </c>
      <c r="J4" s="61">
        <v>270538340</v>
      </c>
      <c r="K4" s="5"/>
      <c r="L4" s="61">
        <v>130834913</v>
      </c>
      <c r="N4" s="61">
        <v>141132940</v>
      </c>
      <c r="P4" s="61">
        <v>156790596</v>
      </c>
    </row>
    <row r="5" spans="1:16" s="8" customFormat="1">
      <c r="A5" s="38" t="s">
        <v>148</v>
      </c>
      <c r="D5" s="62">
        <f>D3-D4</f>
        <v>268507155.24193263</v>
      </c>
      <c r="F5" s="62">
        <v>245622236</v>
      </c>
      <c r="H5" s="62">
        <v>242133041</v>
      </c>
      <c r="J5" s="62">
        <v>165562697</v>
      </c>
      <c r="K5" s="46"/>
      <c r="L5" s="62">
        <v>131419049</v>
      </c>
      <c r="N5" s="62">
        <v>130104318</v>
      </c>
      <c r="P5" s="62">
        <v>101323300</v>
      </c>
    </row>
    <row r="6" spans="1:16">
      <c r="D6" s="22"/>
      <c r="F6" s="22"/>
      <c r="H6" s="22"/>
      <c r="J6" s="22"/>
      <c r="K6" s="5"/>
      <c r="L6" s="22"/>
      <c r="N6" s="22"/>
      <c r="P6" s="22"/>
    </row>
    <row r="7" spans="1:16">
      <c r="A7" s="33" t="s">
        <v>149</v>
      </c>
      <c r="D7" s="22"/>
      <c r="E7" s="3"/>
      <c r="F7" s="22"/>
      <c r="H7" s="22"/>
      <c r="J7" s="22"/>
      <c r="K7" s="5"/>
      <c r="L7" s="22"/>
      <c r="N7" s="22"/>
      <c r="P7" s="22"/>
    </row>
    <row r="8" spans="1:16">
      <c r="A8" s="28" t="s">
        <v>150</v>
      </c>
      <c r="C8" s="290" cm="1">
        <f t="array" ref="C8">AVERAGE(
  _xlfn._xlws.FILTER(
    CHOOSE({1,2,3,4,5}, E8, G8, I8, K8, M8),
    ISNUMBER(CHOOSE({1,2,3,4,5}, E8, G8, I8, K8, M8))
  )
)</f>
        <v>0.20485124734165244</v>
      </c>
      <c r="D8" s="60">
        <f>F8*(1+C8)</f>
        <v>59667704.944802217</v>
      </c>
      <c r="E8" s="3">
        <f>F8/H8-1</f>
        <v>0.17213411833032777</v>
      </c>
      <c r="F8" s="60">
        <v>49522881</v>
      </c>
      <c r="G8" s="3">
        <f>H8/J8-1</f>
        <v>0.34084389905815415</v>
      </c>
      <c r="H8" s="60">
        <v>42250183</v>
      </c>
      <c r="I8" s="3">
        <f>J8/L8-1</f>
        <v>0.23892986198635602</v>
      </c>
      <c r="J8" s="60">
        <v>31510143</v>
      </c>
      <c r="K8" s="3">
        <f>L8/N8-1</f>
        <v>0.35314472072633052</v>
      </c>
      <c r="L8" s="60">
        <v>25433355</v>
      </c>
      <c r="M8" s="3">
        <f>N8/P8-1</f>
        <v>-8.079636339290619E-2</v>
      </c>
      <c r="N8" s="60">
        <v>18795739</v>
      </c>
      <c r="O8" s="3"/>
      <c r="P8" s="60">
        <v>20447851</v>
      </c>
    </row>
    <row r="9" spans="1:16">
      <c r="A9" s="28" t="s">
        <v>151</v>
      </c>
      <c r="C9" s="290" cm="1">
        <f t="array" ref="C9">AVERAGE(
  _xlfn._xlws.FILTER(
    CHOOSE({1,2,3,4,5}, E9, G9, I9, K9, M9),
    ISNUMBER(CHOOSE({1,2,3,4,5}, E9, G9, I9, K9, M9))
  )
)</f>
        <v>0.44355944770525202</v>
      </c>
      <c r="D9" s="61">
        <f>F9*(1+C9)</f>
        <v>4449656.5127956234</v>
      </c>
      <c r="E9" s="3">
        <f t="shared" ref="E9:M12" si="0">F9/H9-1</f>
        <v>0.3396182217144168</v>
      </c>
      <c r="F9" s="61">
        <v>3082420</v>
      </c>
      <c r="G9" s="3">
        <f t="shared" si="0"/>
        <v>0.52519118174412371</v>
      </c>
      <c r="H9" s="61">
        <v>2300969</v>
      </c>
      <c r="I9" s="3">
        <f t="shared" si="0"/>
        <v>0.65101136063928622</v>
      </c>
      <c r="J9" s="61">
        <v>1508643</v>
      </c>
      <c r="K9" s="3">
        <f t="shared" si="0"/>
        <v>0.86749110469381963</v>
      </c>
      <c r="L9" s="61">
        <v>913769</v>
      </c>
      <c r="M9" s="3">
        <f t="shared" si="0"/>
        <v>-0.16551463026538626</v>
      </c>
      <c r="N9" s="61">
        <v>489303</v>
      </c>
      <c r="O9" s="3"/>
      <c r="P9" s="61">
        <v>586353</v>
      </c>
    </row>
    <row r="10" spans="1:16">
      <c r="A10" s="28" t="s">
        <v>152</v>
      </c>
      <c r="C10" s="290" cm="1">
        <f t="array" ref="C10">AVERAGE(
  _xlfn._xlws.FILTER(
    CHOOSE({1,2,3,4,5}, E10, G10, I10, K10, M10),
    ISNUMBER(CHOOSE({1,2,3,4,5}, E10, G10, I10, K10, M10))
  )
)</f>
        <v>8.6358076727198155E-2</v>
      </c>
      <c r="D10" s="61">
        <f>F10*(1+C10)</f>
        <v>5174323.5194516443</v>
      </c>
      <c r="E10" s="3">
        <f t="shared" si="0"/>
        <v>7.6945165786924008E-2</v>
      </c>
      <c r="F10" s="61">
        <v>4763000</v>
      </c>
      <c r="G10" s="3">
        <f t="shared" si="0"/>
        <v>0.46038092715984025</v>
      </c>
      <c r="H10" s="61">
        <v>4422695</v>
      </c>
      <c r="I10" s="3">
        <f t="shared" si="0"/>
        <v>0.17127895126653625</v>
      </c>
      <c r="J10" s="61">
        <v>3028453</v>
      </c>
      <c r="K10" s="3">
        <f t="shared" si="0"/>
        <v>-0.12739910026357615</v>
      </c>
      <c r="L10" s="61">
        <v>2585595</v>
      </c>
      <c r="M10" s="3">
        <f t="shared" si="0"/>
        <v>-0.1494155603137336</v>
      </c>
      <c r="N10" s="61">
        <v>2963090</v>
      </c>
      <c r="O10" s="3"/>
      <c r="P10" s="61">
        <v>3483593</v>
      </c>
    </row>
    <row r="11" spans="1:16">
      <c r="A11" s="28" t="s">
        <v>153</v>
      </c>
      <c r="C11" s="290" cm="1">
        <f t="array" ref="C11">AVERAGE(
  _xlfn._xlws.FILTER(
    CHOOSE({1,2,3,4,5}, E11, G11, I11, K11, M11),
    ISNUMBER(CHOOSE({1,2,3,4,5}, E11, G11, I11, K11, M11))
  )
)</f>
        <v>-0.58980423376394042</v>
      </c>
      <c r="D11" s="61">
        <f>F11*(1+C11)</f>
        <v>3239123.1739560314</v>
      </c>
      <c r="E11" s="3">
        <f t="shared" si="0"/>
        <v>0.71504792733341405</v>
      </c>
      <c r="F11" s="61">
        <v>7896530</v>
      </c>
      <c r="G11" s="3">
        <f t="shared" si="0"/>
        <v>-0.97672113186392717</v>
      </c>
      <c r="H11" s="61">
        <v>4604262</v>
      </c>
      <c r="I11" s="3" t="e">
        <f t="shared" si="0"/>
        <v>#DIV/0!</v>
      </c>
      <c r="J11" s="61">
        <f>F50+F51+F52</f>
        <v>197787193.6507628</v>
      </c>
      <c r="K11" s="3">
        <f t="shared" si="0"/>
        <v>-1</v>
      </c>
      <c r="L11" s="61">
        <f>G50+G51+G52</f>
        <v>0</v>
      </c>
      <c r="M11" s="3">
        <f t="shared" si="0"/>
        <v>-1.0975437305252489</v>
      </c>
      <c r="N11" s="61">
        <v>-161688</v>
      </c>
      <c r="O11" s="3"/>
      <c r="P11" s="61">
        <v>1657595</v>
      </c>
    </row>
    <row r="12" spans="1:16">
      <c r="A12" s="28" t="s">
        <v>154</v>
      </c>
      <c r="C12" s="290" cm="1">
        <f t="array" ref="C12">AVERAGE(
  _xlfn._xlws.FILTER(
    CHOOSE({1,2,3,4,5}, E12, G12, I12, K12, M12),
    ISNUMBER(CHOOSE({1,2,3,4,5}, E12, G12, I12, K12, M12))
  )
)</f>
        <v>5.2947186858818183E-2</v>
      </c>
      <c r="D12" s="61">
        <f>F12*(1+C12)</f>
        <v>6076944.6469798172</v>
      </c>
      <c r="E12" s="3">
        <f t="shared" si="0"/>
        <v>-4.7344176755941465</v>
      </c>
      <c r="F12" s="61">
        <v>5771367</v>
      </c>
      <c r="G12" s="3">
        <f t="shared" si="0"/>
        <v>-0.40970075826444075</v>
      </c>
      <c r="H12" s="61">
        <v>-1545453</v>
      </c>
      <c r="I12" s="3">
        <f t="shared" si="0"/>
        <v>13.377335281002537</v>
      </c>
      <c r="J12" s="61">
        <v>-2618084</v>
      </c>
      <c r="K12" s="3">
        <f t="shared" si="0"/>
        <v>-1.1689306968351818</v>
      </c>
      <c r="L12" s="61">
        <v>-182098</v>
      </c>
      <c r="M12" s="3">
        <f t="shared" si="0"/>
        <v>-6.7995502160146772</v>
      </c>
      <c r="N12" s="61">
        <v>1077945</v>
      </c>
      <c r="O12" s="3"/>
      <c r="P12" s="61">
        <v>-185867</v>
      </c>
    </row>
    <row r="13" spans="1:16">
      <c r="A13" s="28" t="s">
        <v>155</v>
      </c>
      <c r="C13" s="290"/>
      <c r="D13" s="292" cm="1">
        <f t="array" ref="D13">AVERAGE(
  _xlfn._xlws.FILTER(
    CHOOSE({1,2,3,4,5}, F13, H13, J13, L13, N13),
    ISNUMBER(CHOOSE({1,2,3,4,5}, F13, H13, J13, L13, N13))
  )
)</f>
        <v>4070829.8</v>
      </c>
      <c r="E13" s="3"/>
      <c r="F13" s="61">
        <v>10462735</v>
      </c>
      <c r="G13" s="3"/>
      <c r="H13" s="61">
        <v>945981</v>
      </c>
      <c r="I13" s="3"/>
      <c r="J13" s="61">
        <v>866175</v>
      </c>
      <c r="K13" s="3"/>
      <c r="L13" s="61">
        <v>1024384</v>
      </c>
      <c r="M13" s="3"/>
      <c r="N13" s="61">
        <v>7054874</v>
      </c>
      <c r="O13" s="3"/>
      <c r="P13" s="61">
        <v>-2657256</v>
      </c>
    </row>
    <row r="14" spans="1:16">
      <c r="A14" s="28" t="s">
        <v>156</v>
      </c>
      <c r="C14" s="290"/>
      <c r="D14" s="291" cm="1">
        <f t="array" ref="D14">AVERAGE(
  _xlfn._xlws.FILTER(
    CHOOSE({1,2,3,4,5}, F14, H14, J14, L14, N14),
    ISNUMBER(CHOOSE({1,2,3,4,5}, F14, H14, J14, L14, N14))
  )
)</f>
        <v>4301203.8</v>
      </c>
      <c r="E14" s="3"/>
      <c r="F14" s="61">
        <v>15013202</v>
      </c>
      <c r="G14" s="3"/>
      <c r="H14" s="61">
        <v>4472468</v>
      </c>
      <c r="I14" s="3"/>
      <c r="J14" s="61">
        <v>488991</v>
      </c>
      <c r="K14" s="3"/>
      <c r="L14" s="61">
        <v>1155761</v>
      </c>
      <c r="M14" s="3"/>
      <c r="N14" s="61">
        <v>375597</v>
      </c>
      <c r="O14" s="3"/>
      <c r="P14" s="61">
        <v>829310</v>
      </c>
    </row>
    <row r="15" spans="1:16" s="8" customFormat="1">
      <c r="A15" s="38" t="s">
        <v>157</v>
      </c>
      <c r="D15" s="65">
        <f>SUM(D8:D14)</f>
        <v>86979786.397985339</v>
      </c>
      <c r="F15" s="65">
        <v>96512135</v>
      </c>
      <c r="H15" s="65">
        <v>57451105</v>
      </c>
      <c r="J15" s="65">
        <v>46731737</v>
      </c>
      <c r="K15" s="46"/>
      <c r="L15" s="65">
        <v>36311360</v>
      </c>
      <c r="N15" s="65">
        <v>30594860</v>
      </c>
      <c r="P15" s="65">
        <v>24161579</v>
      </c>
    </row>
    <row r="16" spans="1:16" s="8" customFormat="1">
      <c r="A16" s="38" t="s">
        <v>158</v>
      </c>
      <c r="D16" s="62">
        <f>D5+D15</f>
        <v>355486941.63991797</v>
      </c>
      <c r="F16" s="62">
        <v>342134371</v>
      </c>
      <c r="H16" s="62">
        <v>299584146</v>
      </c>
      <c r="J16" s="62">
        <v>212294434</v>
      </c>
      <c r="K16" s="46"/>
      <c r="L16" s="62">
        <v>167730409</v>
      </c>
      <c r="N16" s="62">
        <v>160699178</v>
      </c>
      <c r="P16" s="62">
        <v>125484879</v>
      </c>
    </row>
    <row r="17" spans="1:16">
      <c r="D17" s="22"/>
      <c r="F17" s="22"/>
      <c r="H17" s="22"/>
      <c r="J17" s="22"/>
      <c r="L17" s="22"/>
      <c r="N17" s="22"/>
      <c r="P17" s="22"/>
    </row>
    <row r="18" spans="1:16">
      <c r="A18" s="33" t="s">
        <v>159</v>
      </c>
      <c r="D18" s="22"/>
      <c r="F18" s="22"/>
      <c r="H18" s="22"/>
      <c r="J18" s="22"/>
      <c r="L18" s="22"/>
      <c r="N18" s="22"/>
      <c r="P18" s="22"/>
    </row>
    <row r="19" spans="1:16">
      <c r="A19" s="27" t="s">
        <v>160</v>
      </c>
      <c r="C19" s="290" cm="1">
        <f t="array" ref="C19">AVERAGE(
  _xlfn._xlws.FILTER(
    CHOOSE({1,2,3,4,5}, E19, G19, I19, K19, M19),
    ISNUMBER(CHOOSE({1,2,3,4,5}, E19, G19, I19, K19, M19))
  )
)</f>
        <v>0.167116783281958</v>
      </c>
      <c r="D19" s="60">
        <f>F19*(1+C19)</f>
        <v>224640157.4466137</v>
      </c>
      <c r="E19" s="3">
        <f>F19/H19-1</f>
        <v>0.13133685724445177</v>
      </c>
      <c r="F19" s="60">
        <v>192474447</v>
      </c>
      <c r="G19" s="3">
        <f>H19/J19-1</f>
        <v>0.36314048708067959</v>
      </c>
      <c r="H19" s="60">
        <v>170130095</v>
      </c>
      <c r="I19" s="3">
        <f>J19/L19-1</f>
        <v>0.30299624568443506</v>
      </c>
      <c r="J19" s="60">
        <v>124807455</v>
      </c>
      <c r="K19" s="3">
        <f>L19/N19-1</f>
        <v>1.8789555087644905E-2</v>
      </c>
      <c r="L19" s="60">
        <v>95784969</v>
      </c>
      <c r="M19" s="3">
        <f>N19/P19-1</f>
        <v>1.93207713125787E-2</v>
      </c>
      <c r="N19" s="60">
        <v>94018405</v>
      </c>
      <c r="P19" s="60">
        <v>92236328</v>
      </c>
    </row>
    <row r="20" spans="1:16">
      <c r="A20" s="28" t="s">
        <v>161</v>
      </c>
      <c r="C20" s="290" cm="1">
        <f t="array" ref="C20">AVERAGE(
  _xlfn._xlws.FILTER(
    CHOOSE({1,2,3,4,5}, E20, G20, I20, K20, M20),
    ISNUMBER(CHOOSE({1,2,3,4,5}, E20, G20, I20, K20, M20))
  )
)</f>
        <v>0.36367536217435015</v>
      </c>
      <c r="D20" s="61">
        <f>F20*(1+C20)</f>
        <v>3224542.670371382</v>
      </c>
      <c r="E20" s="3">
        <f>F20/H20-1</f>
        <v>3.6048359500386207E-2</v>
      </c>
      <c r="F20" s="61">
        <v>2364597</v>
      </c>
      <c r="G20" s="3">
        <f>H20/J20-1</f>
        <v>0.52287559893854185</v>
      </c>
      <c r="H20" s="61">
        <v>2282323</v>
      </c>
      <c r="I20" s="3">
        <f>J20/L20-1</f>
        <v>0.17708325152015436</v>
      </c>
      <c r="J20" s="61">
        <v>1498693</v>
      </c>
      <c r="K20" s="3">
        <f>L20/N20-1</f>
        <v>0.14732953060654386</v>
      </c>
      <c r="L20" s="61">
        <v>1273226</v>
      </c>
      <c r="M20" s="3">
        <f>N20/P20-1</f>
        <v>0.93504007030612457</v>
      </c>
      <c r="N20" s="61">
        <v>1109730</v>
      </c>
      <c r="P20" s="61">
        <v>573492</v>
      </c>
    </row>
    <row r="21" spans="1:16">
      <c r="A21" s="28" t="s">
        <v>162</v>
      </c>
      <c r="D21" s="291" cm="1">
        <f t="array" ref="D21">AVERAGE(
  _xlfn._xlws.FILTER(
    CHOOSE({1,2,3,4,5}, F21, H21, J21, L21, N21),
    ISNUMBER(CHOOSE({1,2,3,4,5}, F21, H21, J21, L21, N21))
  )
)</f>
        <v>413338.2</v>
      </c>
      <c r="F21" s="61">
        <v>357160</v>
      </c>
      <c r="H21" s="61">
        <v>354953</v>
      </c>
      <c r="J21" s="61">
        <v>476587</v>
      </c>
      <c r="L21" s="61">
        <v>557198</v>
      </c>
      <c r="N21" s="61">
        <v>320793</v>
      </c>
      <c r="P21" s="61">
        <v>480056</v>
      </c>
    </row>
    <row r="22" spans="1:16" s="8" customFormat="1">
      <c r="A22" s="38" t="s">
        <v>163</v>
      </c>
      <c r="D22" s="65">
        <f>SUM(D19:D21)</f>
        <v>228278038.31698507</v>
      </c>
      <c r="F22" s="65">
        <v>195196204</v>
      </c>
      <c r="H22" s="65">
        <v>172767371</v>
      </c>
      <c r="J22" s="65">
        <v>126782735</v>
      </c>
      <c r="L22" s="65">
        <v>97615393</v>
      </c>
      <c r="N22" s="65">
        <v>95448928</v>
      </c>
      <c r="P22" s="65">
        <v>93289876</v>
      </c>
    </row>
    <row r="23" spans="1:16">
      <c r="D23" s="64"/>
      <c r="F23" s="64"/>
      <c r="H23" s="64"/>
      <c r="J23" s="64"/>
      <c r="L23" s="64"/>
      <c r="N23" s="64"/>
      <c r="P23" s="64"/>
    </row>
    <row r="24" spans="1:16" s="8" customFormat="1">
      <c r="A24" s="39" t="s">
        <v>164</v>
      </c>
      <c r="D24" s="129">
        <f>D16-D22</f>
        <v>127208903.3229329</v>
      </c>
      <c r="F24" s="129">
        <v>146938167</v>
      </c>
      <c r="H24" s="129">
        <v>126816775</v>
      </c>
      <c r="J24" s="129">
        <v>85511699</v>
      </c>
      <c r="K24" s="82"/>
      <c r="L24" s="293">
        <v>70115016</v>
      </c>
      <c r="N24" s="129">
        <v>65250250</v>
      </c>
      <c r="P24" s="129">
        <v>32195003</v>
      </c>
    </row>
    <row r="25" spans="1:16">
      <c r="A25" s="28" t="s">
        <v>165</v>
      </c>
      <c r="D25" s="61">
        <f>'Credit Loss Allowance'!D15</f>
        <v>18767336.017391339</v>
      </c>
      <c r="F25" s="61">
        <v>26603787</v>
      </c>
      <c r="H25" s="61">
        <v>13265779</v>
      </c>
      <c r="J25" s="61">
        <v>8481761</v>
      </c>
      <c r="K25" s="28"/>
      <c r="L25" s="61">
        <v>8087105</v>
      </c>
      <c r="N25" s="61">
        <v>12219614</v>
      </c>
      <c r="P25" s="61">
        <v>3314081</v>
      </c>
    </row>
    <row r="26" spans="1:16" s="8" customFormat="1">
      <c r="A26" s="82" t="s">
        <v>166</v>
      </c>
      <c r="D26" s="130">
        <f>D24-D25</f>
        <v>108441567.30554156</v>
      </c>
      <c r="F26" s="130">
        <v>120334380</v>
      </c>
      <c r="H26" s="130">
        <v>113550996</v>
      </c>
      <c r="J26" s="130">
        <v>77029938</v>
      </c>
      <c r="L26" s="130">
        <v>62027911</v>
      </c>
      <c r="N26" s="130">
        <v>53030636</v>
      </c>
      <c r="P26" s="130">
        <v>28880922</v>
      </c>
    </row>
    <row r="27" spans="1:16">
      <c r="A27" s="28" t="s">
        <v>167</v>
      </c>
      <c r="C27" s="321">
        <v>0.54</v>
      </c>
      <c r="D27" s="61">
        <f>D26*C27</f>
        <v>58558446.344992444</v>
      </c>
      <c r="E27" s="58">
        <f>F27/F26</f>
        <v>0.51963305083717559</v>
      </c>
      <c r="F27" s="61">
        <v>62529721</v>
      </c>
      <c r="G27" s="58">
        <f>H27/H26</f>
        <v>0.49135262538780372</v>
      </c>
      <c r="H27" s="61">
        <v>55793580</v>
      </c>
      <c r="I27" s="58">
        <f>J27/J26</f>
        <v>0.5534420656031166</v>
      </c>
      <c r="J27" s="61">
        <v>42631608</v>
      </c>
      <c r="K27" s="58">
        <f>L27/L26</f>
        <v>0.42756619677228852</v>
      </c>
      <c r="L27" s="61">
        <v>26521038</v>
      </c>
      <c r="M27" s="58">
        <f>N27/N26</f>
        <v>0.41706622187220233</v>
      </c>
      <c r="N27" s="61">
        <v>22117287</v>
      </c>
      <c r="P27" s="61">
        <v>13381127</v>
      </c>
    </row>
    <row r="28" spans="1:16" s="8" customFormat="1">
      <c r="A28" s="38" t="s">
        <v>168</v>
      </c>
      <c r="D28" s="65">
        <f>D26-D27</f>
        <v>49883120.960549116</v>
      </c>
      <c r="F28" s="65">
        <v>57804659</v>
      </c>
      <c r="H28" s="65">
        <v>57757416</v>
      </c>
      <c r="J28" s="65">
        <v>34398330</v>
      </c>
      <c r="L28" s="65">
        <v>35506873</v>
      </c>
      <c r="N28" s="65">
        <v>30913349</v>
      </c>
      <c r="P28" s="65">
        <v>15499795</v>
      </c>
    </row>
    <row r="29" spans="1:16">
      <c r="D29" s="22"/>
      <c r="F29" s="22"/>
      <c r="H29" s="22"/>
      <c r="J29" s="22"/>
      <c r="L29" s="22"/>
      <c r="N29" s="22"/>
      <c r="P29" s="22"/>
    </row>
    <row r="30" spans="1:16">
      <c r="A30" s="33" t="s">
        <v>169</v>
      </c>
      <c r="D30" s="22"/>
      <c r="F30" s="22"/>
      <c r="H30" s="22"/>
      <c r="J30" s="22"/>
      <c r="L30" s="22"/>
      <c r="N30" s="22"/>
      <c r="P30" s="22"/>
    </row>
    <row r="31" spans="1:16">
      <c r="A31" s="27" t="s">
        <v>170</v>
      </c>
      <c r="C31" s="141">
        <f>AVERAGE(E31,G31,I31,K31,M31,O31)</f>
        <v>0.9958718341797006</v>
      </c>
      <c r="D31" s="60">
        <f>D$28*C31</f>
        <v>49677195.165589914</v>
      </c>
      <c r="E31" s="3">
        <f>F31/F$33</f>
        <v>1.0112986048408312</v>
      </c>
      <c r="F31" s="60">
        <v>58457771</v>
      </c>
      <c r="G31" s="3">
        <f>H31/H$33</f>
        <v>0.99859107270311398</v>
      </c>
      <c r="H31" s="60">
        <v>57676040</v>
      </c>
      <c r="I31" s="3">
        <f>J31/J$33</f>
        <v>0.99045758907481851</v>
      </c>
      <c r="J31" s="60">
        <v>34070087</v>
      </c>
      <c r="K31" s="3">
        <f>L31/L$33</f>
        <v>0.98634010942050576</v>
      </c>
      <c r="L31" s="60">
        <v>35021853</v>
      </c>
      <c r="M31" s="3">
        <f>N31/N$33</f>
        <v>0.99931815863755169</v>
      </c>
      <c r="N31" s="60">
        <v>30892271</v>
      </c>
      <c r="O31" s="3">
        <f>P31/P$33</f>
        <v>0.98922547040138276</v>
      </c>
      <c r="P31" s="60">
        <v>15332792</v>
      </c>
    </row>
    <row r="32" spans="1:16">
      <c r="A32" s="43" t="s">
        <v>95</v>
      </c>
      <c r="C32" s="141">
        <f>AVERAGE(E32,G32,I32,K32,M32,O32)</f>
        <v>4.1281658202993576E-3</v>
      </c>
      <c r="D32" s="61">
        <f>D$28*C32</f>
        <v>205925.79495919732</v>
      </c>
      <c r="E32" s="3">
        <f>F32/F$33</f>
        <v>-1.1298604840831256E-2</v>
      </c>
      <c r="F32" s="61">
        <v>-653112</v>
      </c>
      <c r="G32" s="3">
        <f>H32/H$33</f>
        <v>1.4089272968859964E-3</v>
      </c>
      <c r="H32" s="61">
        <v>81376</v>
      </c>
      <c r="I32" s="3">
        <f>J32/J$33</f>
        <v>9.5424109251815419E-3</v>
      </c>
      <c r="J32" s="61">
        <v>328243</v>
      </c>
      <c r="K32" s="3">
        <f>L32/L$33</f>
        <v>1.3659890579494285E-2</v>
      </c>
      <c r="L32" s="61">
        <v>485020</v>
      </c>
      <c r="M32" s="3">
        <f>N32/N$33</f>
        <v>6.818413624483067E-4</v>
      </c>
      <c r="N32" s="61">
        <v>21078</v>
      </c>
      <c r="O32" s="3">
        <f>P32/P$33</f>
        <v>1.0774529598617272E-2</v>
      </c>
      <c r="P32" s="61">
        <v>167003</v>
      </c>
    </row>
    <row r="33" spans="1:37" s="8" customFormat="1">
      <c r="A33" s="38" t="s">
        <v>168</v>
      </c>
      <c r="D33" s="65">
        <f>SUM(D31:D32)</f>
        <v>49883120.960549109</v>
      </c>
      <c r="F33" s="65">
        <v>57804659</v>
      </c>
      <c r="H33" s="65">
        <v>57757416</v>
      </c>
      <c r="J33" s="65">
        <v>34398330</v>
      </c>
      <c r="L33" s="65">
        <v>35506873</v>
      </c>
      <c r="N33" s="65">
        <v>30913349</v>
      </c>
      <c r="P33" s="65">
        <v>15499795</v>
      </c>
    </row>
    <row r="34" spans="1:37">
      <c r="D34" s="22"/>
      <c r="F34" s="22"/>
      <c r="H34" s="22"/>
      <c r="J34" s="22"/>
      <c r="L34" s="22"/>
      <c r="N34" s="22"/>
      <c r="P34" s="22"/>
    </row>
    <row r="35" spans="1:37" s="16" customFormat="1">
      <c r="A35" s="33" t="s">
        <v>171</v>
      </c>
      <c r="B35" s="8"/>
      <c r="D35" s="57">
        <f>F35</f>
        <v>1466852</v>
      </c>
      <c r="F35" s="57">
        <v>1466852</v>
      </c>
      <c r="G35" s="8"/>
      <c r="H35" s="57">
        <v>1466852</v>
      </c>
      <c r="I35" s="8"/>
      <c r="J35" s="57">
        <v>1466852</v>
      </c>
      <c r="K35" s="8"/>
      <c r="L35" s="57">
        <v>1466852</v>
      </c>
      <c r="N35" s="57">
        <v>1466852</v>
      </c>
      <c r="O35" s="17"/>
      <c r="P35" s="57">
        <v>1466852</v>
      </c>
      <c r="Q35" s="19"/>
      <c r="R35" s="18"/>
      <c r="S35" s="19"/>
      <c r="T35" s="18"/>
      <c r="V35" s="17"/>
      <c r="W35" s="18"/>
      <c r="X35" s="17"/>
      <c r="Y35" s="18"/>
      <c r="Z35" s="17"/>
      <c r="AA35" s="18"/>
      <c r="AB35" s="17"/>
      <c r="AC35" s="18"/>
      <c r="AD35" s="17"/>
      <c r="AE35" s="18"/>
      <c r="AF35" s="18"/>
      <c r="AG35" s="18"/>
      <c r="AI35" s="20"/>
      <c r="AJ35" s="21"/>
      <c r="AK35" s="24"/>
    </row>
    <row r="36" spans="1:37" s="8" customFormat="1">
      <c r="A36" s="33" t="s">
        <v>172</v>
      </c>
      <c r="D36" s="302">
        <f>D31/D35</f>
        <v>33.866535387066939</v>
      </c>
      <c r="F36" s="30">
        <v>39.85</v>
      </c>
      <c r="H36" s="30">
        <v>39.32</v>
      </c>
      <c r="J36" s="30">
        <v>23.23</v>
      </c>
      <c r="L36" s="30">
        <v>23.88</v>
      </c>
      <c r="N36" s="30">
        <v>21.06</v>
      </c>
      <c r="P36" s="30">
        <v>10.45</v>
      </c>
    </row>
    <row r="37" spans="1:37">
      <c r="A37" s="33" t="s">
        <v>15</v>
      </c>
      <c r="D37" s="302">
        <f>D36*D38</f>
        <v>10.95390926620075</v>
      </c>
      <c r="F37" s="30">
        <v>16.25</v>
      </c>
      <c r="G37" s="8"/>
      <c r="H37" s="30">
        <v>9.75</v>
      </c>
      <c r="I37" s="8"/>
      <c r="J37" s="30">
        <v>6.75</v>
      </c>
      <c r="K37" s="8"/>
      <c r="L37" s="30">
        <v>7.5</v>
      </c>
      <c r="N37" s="30">
        <v>4.25</v>
      </c>
      <c r="P37" s="30">
        <v>5</v>
      </c>
    </row>
    <row r="38" spans="1:37">
      <c r="A38" s="33" t="s">
        <v>173</v>
      </c>
      <c r="D38" s="304">
        <f>AVERAGE(F38,H38,J38,L38,N38,P38)</f>
        <v>0.32344345652740919</v>
      </c>
      <c r="F38" s="303">
        <f>F37/F36</f>
        <v>0.40777917189460477</v>
      </c>
      <c r="G38" s="8"/>
      <c r="H38" s="303">
        <f>H37/H36</f>
        <v>0.24796541200406919</v>
      </c>
      <c r="I38" s="8"/>
      <c r="J38" s="303">
        <f>J37/J36</f>
        <v>0.29057253551442103</v>
      </c>
      <c r="K38" s="8"/>
      <c r="L38" s="303">
        <f>L37/L36</f>
        <v>0.314070351758794</v>
      </c>
      <c r="N38" s="303">
        <f>N37/N36</f>
        <v>0.20180436847103514</v>
      </c>
      <c r="P38" s="303">
        <f>P37/P36</f>
        <v>0.47846889952153115</v>
      </c>
    </row>
    <row r="39" spans="1:37">
      <c r="A39" s="33" t="s">
        <v>174</v>
      </c>
      <c r="D39" s="301">
        <f>D33*(1-D38)</f>
        <v>33748751.894694254</v>
      </c>
      <c r="F39" s="301">
        <f>F33*(1-F38)</f>
        <v>34233123.021329984</v>
      </c>
      <c r="G39" s="8"/>
      <c r="H39" s="301">
        <f>H33*(1-H38)</f>
        <v>43435574.545269579</v>
      </c>
      <c r="I39" s="8"/>
      <c r="J39" s="301">
        <f>J33*(1-J38)</f>
        <v>24403120.034438223</v>
      </c>
      <c r="K39" s="8"/>
      <c r="L39" s="301">
        <f>L33*(1-L38)</f>
        <v>24355216.907035176</v>
      </c>
      <c r="N39" s="301">
        <f>N33*(1-N38)</f>
        <v>24674900.127730295</v>
      </c>
      <c r="P39" s="301">
        <f>P33*(1-P38)</f>
        <v>8083625.1435406692</v>
      </c>
    </row>
    <row r="41" spans="1:37">
      <c r="A41" t="s">
        <v>175</v>
      </c>
      <c r="D41" s="5">
        <f>D58</f>
        <v>261247762.96096972</v>
      </c>
      <c r="F41" s="5">
        <v>312318372</v>
      </c>
      <c r="G41" s="5"/>
      <c r="H41" s="5">
        <v>300113714</v>
      </c>
      <c r="J41" s="5">
        <v>192939922</v>
      </c>
      <c r="L41" s="5">
        <v>111742121</v>
      </c>
      <c r="N41" s="5">
        <v>116793732</v>
      </c>
      <c r="P41" s="5">
        <v>132394180</v>
      </c>
    </row>
    <row r="42" spans="1:37">
      <c r="A42" t="s">
        <v>71</v>
      </c>
      <c r="D42" s="5">
        <f>D103</f>
        <v>310300411.62176013</v>
      </c>
      <c r="F42" s="5">
        <v>472523900</v>
      </c>
      <c r="G42" s="5"/>
      <c r="H42" s="5">
        <v>370788429</v>
      </c>
      <c r="J42" s="5">
        <v>226000345</v>
      </c>
      <c r="L42" s="5">
        <v>143232732</v>
      </c>
      <c r="N42" s="5">
        <v>148742484</v>
      </c>
      <c r="P42" s="5">
        <v>110142418</v>
      </c>
    </row>
    <row r="43" spans="1:37">
      <c r="A43" t="s">
        <v>70</v>
      </c>
      <c r="D43" s="5">
        <f>D74</f>
        <v>17469046.174278498</v>
      </c>
      <c r="F43" s="5">
        <v>15222196</v>
      </c>
      <c r="G43" s="5"/>
      <c r="H43" s="5">
        <v>30364394</v>
      </c>
      <c r="J43" s="5">
        <v>15354518</v>
      </c>
      <c r="L43" s="5">
        <v>6849788</v>
      </c>
      <c r="N43" s="5">
        <v>5027219</v>
      </c>
      <c r="P43" s="5">
        <v>14180501</v>
      </c>
    </row>
    <row r="44" spans="1:37">
      <c r="A44" t="s">
        <v>176</v>
      </c>
      <c r="D44" s="5">
        <f>D78</f>
        <v>14561671.513781864</v>
      </c>
      <c r="F44" s="5">
        <v>13127613</v>
      </c>
      <c r="G44" s="5"/>
      <c r="H44" s="5">
        <v>11078541</v>
      </c>
      <c r="J44" s="5">
        <v>1806252</v>
      </c>
      <c r="L44" s="5">
        <v>429321</v>
      </c>
      <c r="N44" s="5">
        <v>673823</v>
      </c>
      <c r="P44" s="5">
        <v>1396797</v>
      </c>
    </row>
    <row r="45" spans="1:37">
      <c r="A45" t="s">
        <v>177</v>
      </c>
      <c r="D45" s="5">
        <f>SUM(D41:D44)</f>
        <v>603578892.27079022</v>
      </c>
      <c r="F45" s="5">
        <f>SUM(F41:F44)</f>
        <v>813192081</v>
      </c>
      <c r="G45" s="5"/>
      <c r="H45" s="5">
        <f>SUM(H41:H44)</f>
        <v>712345078</v>
      </c>
      <c r="J45" s="5">
        <v>436101037</v>
      </c>
      <c r="L45" s="5">
        <v>262253962</v>
      </c>
      <c r="N45" s="5">
        <v>271237258</v>
      </c>
      <c r="P45" s="5">
        <v>258113896</v>
      </c>
    </row>
    <row r="49" spans="1:16">
      <c r="D49" s="42"/>
      <c r="F49" s="42"/>
      <c r="G49" s="42"/>
      <c r="H49" s="42"/>
      <c r="I49" s="41"/>
      <c r="J49" s="42"/>
      <c r="K49" s="41"/>
      <c r="L49" s="42"/>
      <c r="N49" s="42"/>
      <c r="P49" s="42"/>
    </row>
    <row r="50" spans="1:16">
      <c r="C50" s="8" t="s">
        <v>178</v>
      </c>
    </row>
    <row r="51" spans="1:16">
      <c r="A51" t="s">
        <v>179</v>
      </c>
      <c r="C51" s="72">
        <v>0.02</v>
      </c>
      <c r="D51" s="4">
        <f t="shared" ref="D51:D57" si="1">(D$62+$C51)*D64</f>
        <v>124468200.0176529</v>
      </c>
      <c r="F51" s="4">
        <f t="shared" ref="F51:F57" si="2">(F$62+$C51)*F64</f>
        <v>154050375.04817975</v>
      </c>
      <c r="H51" s="4">
        <f t="shared" ref="H51:H57" si="3">(H$62+$C51)*H64</f>
        <v>139223934.5325267</v>
      </c>
      <c r="J51" s="4">
        <f t="shared" ref="J51:J57" si="4">(J$62+$C51)*J64</f>
        <v>107192458.23222564</v>
      </c>
      <c r="L51" s="4">
        <f t="shared" ref="L51:L57" si="5">(L$62+$C51)*L64</f>
        <v>59936290.212740496</v>
      </c>
      <c r="N51" s="4">
        <f t="shared" ref="N51:N57" si="6">(N$62+$C51)*N64</f>
        <v>67139539.492230445</v>
      </c>
      <c r="P51" s="4">
        <f t="shared" ref="P51:P57" si="7">(P$62+$C51)*P64</f>
        <v>86852785.364186585</v>
      </c>
    </row>
    <row r="52" spans="1:16">
      <c r="A52" t="s">
        <v>180</v>
      </c>
      <c r="C52" s="72">
        <v>0.05</v>
      </c>
      <c r="D52" s="4">
        <f t="shared" si="1"/>
        <v>41101815.776902452</v>
      </c>
      <c r="F52" s="4">
        <f t="shared" si="2"/>
        <v>43736818.602583043</v>
      </c>
      <c r="H52" s="4">
        <f t="shared" si="3"/>
        <v>45446215.803816952</v>
      </c>
      <c r="J52" s="4">
        <f t="shared" si="4"/>
        <v>31677227.662607163</v>
      </c>
      <c r="L52" s="4">
        <f t="shared" si="5"/>
        <v>20324987.75390384</v>
      </c>
      <c r="N52" s="4">
        <f t="shared" si="6"/>
        <v>19946489.020929787</v>
      </c>
      <c r="P52" s="4">
        <f t="shared" si="7"/>
        <v>24521796.575658906</v>
      </c>
    </row>
    <row r="53" spans="1:16">
      <c r="A53" t="s">
        <v>181</v>
      </c>
      <c r="C53" s="72">
        <v>0</v>
      </c>
      <c r="D53" s="4">
        <f t="shared" si="1"/>
        <v>5678046.9009608328</v>
      </c>
      <c r="F53" s="4">
        <f t="shared" si="2"/>
        <v>7658093.8823231999</v>
      </c>
      <c r="H53" s="4">
        <f t="shared" si="3"/>
        <v>7536668.5219583977</v>
      </c>
      <c r="J53" s="4">
        <f t="shared" si="4"/>
        <v>4418169.756382199</v>
      </c>
      <c r="L53" s="4">
        <f t="shared" si="5"/>
        <v>1926498.1974404396</v>
      </c>
      <c r="N53" s="4">
        <f t="shared" si="6"/>
        <v>2331657.6763732559</v>
      </c>
      <c r="P53" s="4">
        <f t="shared" si="7"/>
        <v>3453586.0250828387</v>
      </c>
    </row>
    <row r="54" spans="1:16">
      <c r="A54" t="s">
        <v>182</v>
      </c>
      <c r="C54" s="72">
        <v>0.04</v>
      </c>
      <c r="D54" s="4">
        <f t="shared" si="1"/>
        <v>13572184.5856691</v>
      </c>
      <c r="F54" s="4">
        <f t="shared" si="2"/>
        <v>16653710.360482018</v>
      </c>
      <c r="H54" s="4">
        <f t="shared" si="3"/>
        <v>18021722.104513917</v>
      </c>
      <c r="J54" s="4">
        <f t="shared" si="4"/>
        <v>0</v>
      </c>
      <c r="L54" s="4">
        <f t="shared" si="5"/>
        <v>0</v>
      </c>
      <c r="N54" s="4">
        <f t="shared" si="6"/>
        <v>0</v>
      </c>
      <c r="P54" s="4">
        <f t="shared" si="7"/>
        <v>0</v>
      </c>
    </row>
    <row r="55" spans="1:16">
      <c r="A55" t="s">
        <v>183</v>
      </c>
      <c r="C55" s="72">
        <v>0.02</v>
      </c>
      <c r="D55" s="4">
        <f t="shared" si="1"/>
        <v>40958641.917247579</v>
      </c>
      <c r="F55" s="4">
        <f t="shared" si="2"/>
        <v>48636558.9627904</v>
      </c>
      <c r="H55" s="4">
        <f t="shared" si="3"/>
        <v>54805343.422003187</v>
      </c>
      <c r="J55" s="4">
        <f t="shared" si="4"/>
        <v>29267565.387638398</v>
      </c>
      <c r="L55" s="4">
        <f t="shared" si="5"/>
        <v>18971138.815163076</v>
      </c>
      <c r="N55" s="4">
        <f t="shared" si="6"/>
        <v>18175774.969834592</v>
      </c>
      <c r="P55" s="4">
        <f t="shared" si="7"/>
        <v>23358243.358029842</v>
      </c>
    </row>
    <row r="56" spans="1:16">
      <c r="A56" t="s">
        <v>184</v>
      </c>
      <c r="C56" s="72">
        <v>0.08</v>
      </c>
      <c r="D56" s="4">
        <f t="shared" si="1"/>
        <v>13324717.111922245</v>
      </c>
      <c r="F56" s="4">
        <f t="shared" si="2"/>
        <v>13503137.5751232</v>
      </c>
      <c r="H56" s="4">
        <f t="shared" si="3"/>
        <v>20006492.571263999</v>
      </c>
      <c r="J56" s="4">
        <f t="shared" si="4"/>
        <v>14493607.952636998</v>
      </c>
      <c r="L56" s="4">
        <f t="shared" si="5"/>
        <v>7397074.3865237199</v>
      </c>
      <c r="N56" s="4">
        <f t="shared" si="6"/>
        <v>6264109.3222359521</v>
      </c>
      <c r="P56" s="4">
        <f t="shared" si="7"/>
        <v>5736034.7855654005</v>
      </c>
    </row>
    <row r="57" spans="1:16">
      <c r="A57" t="s">
        <v>185</v>
      </c>
      <c r="C57" s="72">
        <v>0</v>
      </c>
      <c r="D57" s="4">
        <f t="shared" si="1"/>
        <v>22144156.650614612</v>
      </c>
      <c r="F57" s="4">
        <f t="shared" si="2"/>
        <v>28079677.5685184</v>
      </c>
      <c r="H57" s="4">
        <f t="shared" si="3"/>
        <v>15073337.043916795</v>
      </c>
      <c r="J57" s="4">
        <f t="shared" si="4"/>
        <v>5890893.0085095996</v>
      </c>
      <c r="L57" s="4">
        <f t="shared" si="5"/>
        <v>3186131.634228419</v>
      </c>
      <c r="N57" s="4">
        <f t="shared" si="6"/>
        <v>2936161.5183959519</v>
      </c>
      <c r="P57" s="4">
        <f t="shared" si="7"/>
        <v>4049031.8914764309</v>
      </c>
    </row>
    <row r="58" spans="1:16" s="8" customFormat="1">
      <c r="A58" s="8" t="s">
        <v>186</v>
      </c>
      <c r="D58" s="169">
        <f>SUM(D51:D57)</f>
        <v>261247762.96096972</v>
      </c>
      <c r="F58" s="169">
        <f>F41</f>
        <v>312318372</v>
      </c>
      <c r="H58" s="169">
        <f>H41</f>
        <v>300113714</v>
      </c>
      <c r="J58" s="169">
        <f>J41</f>
        <v>192939922</v>
      </c>
      <c r="L58" s="169">
        <f>L41</f>
        <v>111742121</v>
      </c>
      <c r="N58" s="169">
        <f>N41</f>
        <v>116793732</v>
      </c>
      <c r="P58" s="169">
        <f>P41+P43+P44</f>
        <v>147971478</v>
      </c>
    </row>
    <row r="59" spans="1:16" s="8" customFormat="1">
      <c r="A59" s="8" t="s">
        <v>72</v>
      </c>
      <c r="D59" s="154">
        <f>D71</f>
        <v>2790266147.3560433</v>
      </c>
      <c r="F59" s="154">
        <f>F71</f>
        <v>2435434872</v>
      </c>
      <c r="G59" s="135"/>
      <c r="H59" s="154">
        <f>H71</f>
        <v>1861344592</v>
      </c>
      <c r="I59" s="135"/>
      <c r="J59" s="154">
        <f>J71</f>
        <v>1782497923.0000002</v>
      </c>
      <c r="K59" s="135"/>
      <c r="L59" s="154">
        <f>L71</f>
        <v>1507047097.0000002</v>
      </c>
      <c r="M59" s="135"/>
      <c r="N59" s="154">
        <f>N71</f>
        <v>1223510222</v>
      </c>
      <c r="O59" s="135"/>
      <c r="P59" s="154">
        <f>P71</f>
        <v>1169290907.9880002</v>
      </c>
    </row>
    <row r="60" spans="1:16" s="8" customFormat="1">
      <c r="A60" s="8" t="s">
        <v>187</v>
      </c>
      <c r="D60" s="135">
        <f>D58/D59</f>
        <v>9.3628259515142948E-2</v>
      </c>
      <c r="E60" s="171">
        <f>SUM(F51:F57)/F59</f>
        <v>0.12823926256074403</v>
      </c>
      <c r="F60" s="135">
        <f>F58/F59</f>
        <v>0.12823926256074403</v>
      </c>
      <c r="H60" s="135">
        <f>H58/H59</f>
        <v>0.16123490260206477</v>
      </c>
      <c r="J60" s="135">
        <f>J58/J59</f>
        <v>0.10824131658749762</v>
      </c>
      <c r="L60" s="135">
        <f>L58/L59</f>
        <v>7.4146402738467287E-2</v>
      </c>
      <c r="N60" s="135">
        <f>N58/N59</f>
        <v>9.5457912733319203E-2</v>
      </c>
      <c r="P60" s="135">
        <f>P58/P59</f>
        <v>0.12654804462185945</v>
      </c>
    </row>
    <row r="61" spans="1:16" s="8" customFormat="1">
      <c r="A61" s="8" t="s">
        <v>188</v>
      </c>
      <c r="D61" s="305">
        <v>0.115</v>
      </c>
      <c r="F61" s="170">
        <f>'Policy Rate'!D103</f>
        <v>0.18032786885245902</v>
      </c>
      <c r="H61" s="170">
        <f>'Policy Rate'!D112</f>
        <v>0.21386301369863014</v>
      </c>
      <c r="J61" s="170">
        <f>'Policy Rate'!D121</f>
        <v>0.14582876712328768</v>
      </c>
      <c r="L61" s="170">
        <f>'Policy Rate'!D129</f>
        <v>7.7787671232876707E-2</v>
      </c>
      <c r="N61" s="170">
        <f>'Policy Rate'!D141</f>
        <v>8.443989071038252E-2</v>
      </c>
      <c r="P61" s="170">
        <f>'Policy Rate'!D150</f>
        <v>0.12454109589041097</v>
      </c>
    </row>
    <row r="62" spans="1:16" s="8" customFormat="1">
      <c r="A62" s="8" t="s">
        <v>189</v>
      </c>
      <c r="D62" s="306">
        <v>7.0000000000000007E-2</v>
      </c>
      <c r="F62" s="171">
        <f>(F58-(F64*$C51)-(F65*$C52)-(F67*$C54)-(F68*$C55)-(F69*$C56))/(F64+F65+F66+F67+F68+F69+F70)</f>
        <v>0.10481487269984364</v>
      </c>
      <c r="H62" s="171">
        <f>(H58-(H64*$C51)-(H65*$C52)-(H67*$C54)-(H68*$C55)-(H69*$C56))/(H64+H65+H66+H67+H68+H69+H70)</f>
        <v>0.13496817577197975</v>
      </c>
      <c r="J62" s="171">
        <f>(J58-(J64*$C51)-(J65*$C52)-(J67*$C54)-(J68*$C55)-(J69*$C56))/(J64+J65+J66+J67+J68+J69+J70)</f>
        <v>8.2621316587497634E-2</v>
      </c>
      <c r="L62" s="171">
        <f>(L58-(L64*$C51)-(L65*$C52)-(L67*$C54)-(L68*$C55)-(L69*$C56))/(L64+L65+L66+L67+L68+L69+L70)</f>
        <v>4.9166402738467292E-2</v>
      </c>
      <c r="N62" s="171">
        <f>(N58-(N64*$C51)-(N65*$C52)-(N67*$C54)-(N68*$C55)-(N69*$C56))/(N64+N65+N66+N67+N68+N69+N70)</f>
        <v>7.0581912733319194E-2</v>
      </c>
      <c r="P62" s="171">
        <f>(P58-(P64*$C51)-(P65*$C52)-(P67*$C54)-(P68*$C55)-(P69*$C56))/(P64+P65+P66+P67+P68+P69+P70)</f>
        <v>0.10205103863383551</v>
      </c>
    </row>
    <row r="64" spans="1:16">
      <c r="A64" t="s">
        <v>179</v>
      </c>
      <c r="D64" s="4">
        <f>'National Advances'!C18</f>
        <v>1382980000.1961432</v>
      </c>
      <c r="E64" s="3">
        <f>F64/F$71</f>
        <v>0.50678050695498134</v>
      </c>
      <c r="F64" s="4">
        <f>'National Advances'!F18</f>
        <v>1234230919.0880001</v>
      </c>
      <c r="G64" s="3">
        <f>H64/H$71</f>
        <v>0.48266365849575049</v>
      </c>
      <c r="H64" s="4">
        <f>'National Advances'!I18</f>
        <v>898403390.49600005</v>
      </c>
      <c r="J64" s="4">
        <f>'National Advances'!L18</f>
        <v>1044543782.878</v>
      </c>
      <c r="L64" s="4">
        <f>'National Advances'!O18</f>
        <v>866552080.7750001</v>
      </c>
      <c r="N64" s="4">
        <f>'National Advances'!R18</f>
        <v>741202492.48759985</v>
      </c>
      <c r="P64" s="4">
        <f>'National Advances'!U18</f>
        <v>711610374.94120002</v>
      </c>
    </row>
    <row r="65" spans="1:16">
      <c r="A65" t="s">
        <v>180</v>
      </c>
      <c r="D65" s="4">
        <f>'National Advances'!C19</f>
        <v>342515131.47418708</v>
      </c>
      <c r="E65" s="3">
        <f t="shared" ref="E65:G70" si="8">F65/F$71</f>
        <v>0.11600000000000001</v>
      </c>
      <c r="F65" s="4">
        <f>'National Advances'!F19</f>
        <v>282510445.15200001</v>
      </c>
      <c r="G65" s="3">
        <f t="shared" si="8"/>
        <v>0.13200000000000001</v>
      </c>
      <c r="H65" s="4">
        <f>'National Advances'!I19</f>
        <v>245697486.14399999</v>
      </c>
      <c r="J65" s="4">
        <f>'National Advances'!L19</f>
        <v>238854721.68200001</v>
      </c>
      <c r="L65" s="4">
        <f>'National Advances'!O19</f>
        <v>204958405.192</v>
      </c>
      <c r="N65" s="4">
        <f>'National Advances'!R19</f>
        <v>165418582.01440001</v>
      </c>
      <c r="P65" s="4">
        <f>'National Advances'!U19</f>
        <v>161273456.57080001</v>
      </c>
    </row>
    <row r="66" spans="1:16">
      <c r="A66" t="s">
        <v>181</v>
      </c>
      <c r="D66" s="4">
        <f>'National Advances'!C20</f>
        <v>81114955.728011891</v>
      </c>
      <c r="E66" s="3">
        <f t="shared" si="8"/>
        <v>0.03</v>
      </c>
      <c r="F66" s="4">
        <f>'National Advances'!F20</f>
        <v>73063046.159999996</v>
      </c>
      <c r="G66" s="3">
        <f t="shared" si="8"/>
        <v>0.03</v>
      </c>
      <c r="H66" s="4">
        <f>'National Advances'!I20</f>
        <v>55840337.759999998</v>
      </c>
      <c r="J66" s="4">
        <f>'National Advances'!L20</f>
        <v>53474937.689999998</v>
      </c>
      <c r="L66" s="4">
        <f>'National Advances'!O20</f>
        <v>39183224.522</v>
      </c>
      <c r="N66" s="4">
        <f>'National Advances'!R20</f>
        <v>33034775.993999999</v>
      </c>
      <c r="P66" s="4">
        <f>'National Advances'!U20</f>
        <v>33841752.826000005</v>
      </c>
    </row>
    <row r="67" spans="1:16">
      <c r="A67" t="s">
        <v>182</v>
      </c>
      <c r="D67" s="4">
        <f>'National Advances'!C21</f>
        <v>123383496.23335545</v>
      </c>
      <c r="E67" s="3">
        <f t="shared" si="8"/>
        <v>4.7219493045018698E-2</v>
      </c>
      <c r="F67" s="4">
        <f>'National Advances'!F21</f>
        <v>115000000</v>
      </c>
      <c r="G67" s="3">
        <f t="shared" si="8"/>
        <v>5.5336341504249528E-2</v>
      </c>
      <c r="H67" s="4">
        <f>'National Advances'!I21</f>
        <v>103000000</v>
      </c>
      <c r="J67" s="4">
        <f>'National Advances'!L21</f>
        <v>0</v>
      </c>
      <c r="L67" s="4">
        <f>'National Advances'!O21</f>
        <v>0</v>
      </c>
      <c r="N67" s="4">
        <f>'National Advances'!R21</f>
        <v>0</v>
      </c>
      <c r="P67" s="4">
        <f>'National Advances'!U21</f>
        <v>0</v>
      </c>
    </row>
    <row r="68" spans="1:16">
      <c r="A68" t="s">
        <v>183</v>
      </c>
      <c r="D68" s="4">
        <f>'National Advances'!C22</f>
        <v>455096021.30275083</v>
      </c>
      <c r="E68" s="3">
        <f t="shared" si="8"/>
        <v>0.16</v>
      </c>
      <c r="F68" s="4">
        <f>'National Advances'!F22</f>
        <v>389669579.51999998</v>
      </c>
      <c r="G68" s="3">
        <f t="shared" si="8"/>
        <v>0.19</v>
      </c>
      <c r="H68" s="4">
        <f>'National Advances'!I22</f>
        <v>353655472.48000002</v>
      </c>
      <c r="J68" s="4">
        <f>'National Advances'!L22</f>
        <v>285199667.68000001</v>
      </c>
      <c r="L68" s="4">
        <f>'National Advances'!O22</f>
        <v>274282571.65399998</v>
      </c>
      <c r="N68" s="4">
        <f>'National Advances'!R22</f>
        <v>200655676.40800002</v>
      </c>
      <c r="P68" s="4">
        <f>'National Advances'!U22</f>
        <v>191380947.016</v>
      </c>
    </row>
    <row r="69" spans="1:16">
      <c r="A69" t="s">
        <v>184</v>
      </c>
      <c r="D69" s="4">
        <f>'National Advances'!C23</f>
        <v>88831447.41281496</v>
      </c>
      <c r="E69" s="3">
        <f t="shared" si="8"/>
        <v>0.03</v>
      </c>
      <c r="F69" s="4">
        <f>'National Advances'!F23</f>
        <v>73063046.159999996</v>
      </c>
      <c r="G69" s="3">
        <f t="shared" si="8"/>
        <v>0.05</v>
      </c>
      <c r="H69" s="4">
        <f>'National Advances'!I23</f>
        <v>93067229.600000009</v>
      </c>
      <c r="J69" s="4">
        <f>'National Advances'!L23</f>
        <v>89124896.150000006</v>
      </c>
      <c r="L69" s="4">
        <f>'National Advances'!O23</f>
        <v>57267789.685999997</v>
      </c>
      <c r="N69" s="4">
        <f>'National Advances'!R23</f>
        <v>41599347.548</v>
      </c>
      <c r="P69" s="4">
        <f>'National Advances'!U23</f>
        <v>31507838.838</v>
      </c>
    </row>
    <row r="70" spans="1:16">
      <c r="A70" t="s">
        <v>185</v>
      </c>
      <c r="D70" s="4">
        <f>'National Advances'!C24</f>
        <v>316345095.00878012</v>
      </c>
      <c r="E70" s="3">
        <f t="shared" si="8"/>
        <v>0.11</v>
      </c>
      <c r="F70" s="4">
        <f>'National Advances'!F24</f>
        <v>267897835.91999999</v>
      </c>
      <c r="G70" s="3">
        <f t="shared" si="8"/>
        <v>0.06</v>
      </c>
      <c r="H70" s="4">
        <f>'National Advances'!I24</f>
        <v>111680675.52</v>
      </c>
      <c r="J70" s="4">
        <f>'National Advances'!L24</f>
        <v>71299916.920000002</v>
      </c>
      <c r="L70" s="4">
        <f>'National Advances'!O24</f>
        <v>64803025.170999996</v>
      </c>
      <c r="N70" s="4">
        <f>'National Advances'!R24</f>
        <v>41599347.548</v>
      </c>
      <c r="P70" s="4">
        <f>'National Advances'!U24</f>
        <v>39676537.796000004</v>
      </c>
    </row>
    <row r="71" spans="1:16" s="8" customFormat="1">
      <c r="A71" s="8" t="s">
        <v>124</v>
      </c>
      <c r="D71" s="169">
        <f>'National Advances'!C25</f>
        <v>2790266147.3560433</v>
      </c>
      <c r="F71" s="169">
        <f>'National Advances'!F25</f>
        <v>2435434872</v>
      </c>
      <c r="H71" s="169">
        <f>'National Advances'!I25</f>
        <v>1861344592</v>
      </c>
      <c r="J71" s="169">
        <f>'National Advances'!L25</f>
        <v>1782497923.0000002</v>
      </c>
      <c r="L71" s="169">
        <f>'National Advances'!O25</f>
        <v>1507047097.0000002</v>
      </c>
      <c r="N71" s="169">
        <f>'National Advances'!R25</f>
        <v>1223510222</v>
      </c>
      <c r="P71" s="169">
        <f>'National Advances'!U25</f>
        <v>1169290907.9880002</v>
      </c>
    </row>
    <row r="72" spans="1:16">
      <c r="D72" s="4"/>
      <c r="F72" s="4"/>
      <c r="H72" s="4"/>
      <c r="J72" s="4"/>
      <c r="L72" s="4"/>
      <c r="N72" s="4"/>
      <c r="P72" s="4"/>
    </row>
    <row r="73" spans="1:16">
      <c r="A73" t="s">
        <v>70</v>
      </c>
      <c r="D73" s="241">
        <f>SOFP!D6</f>
        <v>158809510.67525908</v>
      </c>
      <c r="F73" s="63">
        <f>SOFP!F6</f>
        <v>84293922</v>
      </c>
      <c r="H73" s="5">
        <f>SOFP!H6</f>
        <v>88598160</v>
      </c>
      <c r="J73" s="5">
        <f>SOFP!J6</f>
        <v>254593287</v>
      </c>
      <c r="L73" s="5">
        <f>SOFP!L6</f>
        <v>93742432</v>
      </c>
      <c r="N73" s="5">
        <f>SOFP!N6</f>
        <v>30154193</v>
      </c>
      <c r="P73" s="5">
        <f>SOFP!P6</f>
        <v>45303199</v>
      </c>
    </row>
    <row r="74" spans="1:16">
      <c r="A74" t="s">
        <v>190</v>
      </c>
      <c r="D74" s="5">
        <f>D75*D73</f>
        <v>17469046.174278498</v>
      </c>
      <c r="F74" s="282">
        <f>F43</f>
        <v>15222196</v>
      </c>
      <c r="H74" s="5">
        <f>H43</f>
        <v>30364394</v>
      </c>
      <c r="J74" s="5">
        <f>J43</f>
        <v>15354518</v>
      </c>
      <c r="L74" s="5">
        <f>L43</f>
        <v>6849788</v>
      </c>
      <c r="N74" s="5">
        <f>N43</f>
        <v>5027219</v>
      </c>
      <c r="P74" s="5">
        <f>P43</f>
        <v>14180501</v>
      </c>
    </row>
    <row r="75" spans="1:16">
      <c r="A75" t="s">
        <v>191</v>
      </c>
      <c r="D75" s="3">
        <v>0.11</v>
      </c>
      <c r="F75" s="3">
        <f>F74/F73</f>
        <v>0.18058474014294887</v>
      </c>
      <c r="H75" s="3">
        <f>H74/H73</f>
        <v>0.34272036800764261</v>
      </c>
      <c r="J75" s="3">
        <f>J74/J73</f>
        <v>6.030998767064899E-2</v>
      </c>
      <c r="L75" s="3">
        <f>L74/L73</f>
        <v>7.3070303957977104E-2</v>
      </c>
      <c r="N75" s="3">
        <f>N74/N73</f>
        <v>0.16671707977726349</v>
      </c>
      <c r="P75" s="3">
        <f>P74/P73</f>
        <v>0.31301323776274609</v>
      </c>
    </row>
    <row r="76" spans="1:16">
      <c r="D76" s="3"/>
      <c r="F76" s="3"/>
      <c r="H76" s="3"/>
      <c r="J76" s="3"/>
      <c r="L76" s="3"/>
      <c r="N76" s="3"/>
      <c r="P76" s="3"/>
    </row>
    <row r="77" spans="1:16">
      <c r="A77" t="s">
        <v>69</v>
      </c>
      <c r="D77" s="5">
        <f>SOFP!D5</f>
        <v>72808357.568909317</v>
      </c>
      <c r="F77" s="5">
        <f>SOFP!F5</f>
        <v>51324612</v>
      </c>
      <c r="H77" s="5">
        <f>SOFP!H5</f>
        <v>56603548</v>
      </c>
      <c r="J77" s="5">
        <f>SOFP!J5</f>
        <v>41513022</v>
      </c>
      <c r="L77" s="5">
        <f>SOFP!L5</f>
        <v>64438075</v>
      </c>
      <c r="N77" s="5">
        <f>SOFP!N5</f>
        <v>56533829</v>
      </c>
      <c r="P77" s="5">
        <f>SOFP!P5</f>
        <v>41248554</v>
      </c>
    </row>
    <row r="78" spans="1:16">
      <c r="A78" t="s">
        <v>192</v>
      </c>
      <c r="D78" s="5">
        <f>D79*D77</f>
        <v>14561671.513781864</v>
      </c>
      <c r="F78" s="283">
        <f>F44</f>
        <v>13127613</v>
      </c>
      <c r="H78" s="5">
        <f>H44</f>
        <v>11078541</v>
      </c>
      <c r="J78" s="5">
        <f>J44</f>
        <v>1806252</v>
      </c>
      <c r="L78" s="5">
        <f>L44</f>
        <v>429321</v>
      </c>
      <c r="N78" s="5">
        <f>N44</f>
        <v>673823</v>
      </c>
      <c r="P78" s="5">
        <f>P44</f>
        <v>1396797</v>
      </c>
    </row>
    <row r="79" spans="1:16">
      <c r="A79" t="s">
        <v>191</v>
      </c>
      <c r="D79" s="3">
        <v>0.2</v>
      </c>
      <c r="F79" s="3">
        <f>F78/F77</f>
        <v>0.25577617615501896</v>
      </c>
      <c r="H79" s="3">
        <f>H78/H77</f>
        <v>0.19572167101609955</v>
      </c>
      <c r="J79" s="3">
        <f>J78/J77</f>
        <v>4.3510491719923453E-2</v>
      </c>
      <c r="L79" s="3">
        <f>L78/L77</f>
        <v>6.6625360860019488E-3</v>
      </c>
      <c r="N79" s="3">
        <f>N78/N77</f>
        <v>1.1918934413588014E-2</v>
      </c>
      <c r="P79" s="3">
        <f>P78/P77</f>
        <v>3.3862932504252152E-2</v>
      </c>
    </row>
    <row r="81" spans="1:16">
      <c r="A81" s="27" t="s">
        <v>193</v>
      </c>
      <c r="D81" s="74">
        <f>((2*F81)+(2*H81)+(2*J81)+L81+N81+P81)/9</f>
        <v>1681638.7777777778</v>
      </c>
      <c r="F81" s="74">
        <v>7011503</v>
      </c>
      <c r="H81" s="74">
        <v>133734</v>
      </c>
      <c r="J81" s="74">
        <v>-396299</v>
      </c>
      <c r="L81" s="74">
        <v>108423</v>
      </c>
      <c r="N81" s="74">
        <v>1445950</v>
      </c>
      <c r="P81" s="74">
        <v>82500</v>
      </c>
    </row>
    <row r="82" spans="1:16">
      <c r="A82" s="28" t="s">
        <v>194</v>
      </c>
      <c r="D82" s="75">
        <f>((2*F82)+(2*H82)+(2*J82)+L82+N82+P82)/9</f>
        <v>5701</v>
      </c>
      <c r="F82" s="75">
        <v>154602</v>
      </c>
      <c r="H82" s="75">
        <v>-34842</v>
      </c>
      <c r="J82" s="75">
        <v>-7865</v>
      </c>
      <c r="L82" s="75">
        <v>-31517</v>
      </c>
      <c r="N82" s="75">
        <v>-13658</v>
      </c>
      <c r="P82" s="75">
        <v>-127306</v>
      </c>
    </row>
    <row r="83" spans="1:16">
      <c r="A83" s="28" t="s">
        <v>195</v>
      </c>
      <c r="D83" s="75">
        <f>(D112*C84)-D82-D81</f>
        <v>62640877.204086855</v>
      </c>
      <c r="F83" s="75">
        <f>(F112*E84)-F82-F81</f>
        <v>73101619.165698946</v>
      </c>
      <c r="H83" s="75">
        <f>(H112*G84)-H82-H81</f>
        <v>90118400.15230301</v>
      </c>
      <c r="J83" s="75">
        <f>(J112*I84)-J82-J81</f>
        <v>49064942.242608584</v>
      </c>
      <c r="L83" s="75">
        <f>(L112*K84)-L82-L81</f>
        <v>32023702.363137566</v>
      </c>
      <c r="N83" s="75">
        <f>(N112*M84)-N82-N81</f>
        <v>53373033.328228757</v>
      </c>
      <c r="P83" s="75">
        <f>(P112*O84)-P82-P81</f>
        <v>78715062.634069487</v>
      </c>
    </row>
    <row r="84" spans="1:16" s="8" customFormat="1">
      <c r="A84" s="38" t="s">
        <v>99</v>
      </c>
      <c r="C84" s="305">
        <v>0.114</v>
      </c>
      <c r="D84" s="73">
        <f>D83+D82</f>
        <v>62646578.204086855</v>
      </c>
      <c r="E84" s="170">
        <f>'Market Treasury Bills'!E707</f>
        <v>0.17973047185136229</v>
      </c>
      <c r="F84" s="73">
        <f>F83+F82</f>
        <v>73256221.165698946</v>
      </c>
      <c r="G84" s="170">
        <f>'Market Treasury Bills'!E679</f>
        <v>0.21289485485559814</v>
      </c>
      <c r="H84" s="73">
        <f>H83+H82</f>
        <v>90083558.15230301</v>
      </c>
      <c r="I84" s="170">
        <f>'Market Treasury Bills'!E651</f>
        <v>0.1442601277494269</v>
      </c>
      <c r="J84" s="73">
        <f>J83+J82</f>
        <v>49057077.242608584</v>
      </c>
      <c r="K84" s="170">
        <f>'Market Treasury Bills'!E623</f>
        <v>8.1952140298347173E-2</v>
      </c>
      <c r="L84" s="73">
        <f>L83+L82</f>
        <v>31992185.363137566</v>
      </c>
      <c r="M84" s="170">
        <f>'Market Treasury Bills'!E595</f>
        <v>8.6666352328561166E-2</v>
      </c>
      <c r="N84" s="73">
        <f>N83+N82</f>
        <v>53359375.328228757</v>
      </c>
      <c r="O84" s="170">
        <f>'Market Treasury Bills'!E567</f>
        <v>0.12993317320054232</v>
      </c>
      <c r="P84" s="73">
        <f>P83+P82</f>
        <v>78587756.634069487</v>
      </c>
    </row>
    <row r="85" spans="1:16">
      <c r="A85" s="27" t="s">
        <v>193</v>
      </c>
      <c r="C85" s="141"/>
      <c r="D85" s="75">
        <f>((2*F85)+(2*H85)+(2*J85)+L85+N85+P85)/9</f>
        <v>-10149100.666666666</v>
      </c>
      <c r="E85" s="141"/>
      <c r="F85" s="74">
        <v>7739668</v>
      </c>
      <c r="G85" s="141"/>
      <c r="H85" s="74">
        <v>-28598476</v>
      </c>
      <c r="I85" s="141"/>
      <c r="J85" s="74">
        <v>-29604154</v>
      </c>
      <c r="K85" s="141"/>
      <c r="L85" s="74">
        <v>-4943247</v>
      </c>
      <c r="M85" s="141"/>
      <c r="N85" s="74">
        <v>10689727</v>
      </c>
      <c r="O85" s="141"/>
      <c r="P85" s="74">
        <v>3837538</v>
      </c>
    </row>
    <row r="86" spans="1:16">
      <c r="A86" s="28" t="s">
        <v>194</v>
      </c>
      <c r="C86" s="141"/>
      <c r="D86" s="75">
        <f>((2*F86)+(2*H86)+(2*J86)+L86+N86+P86)/9</f>
        <v>56307.333333333336</v>
      </c>
      <c r="E86" s="141"/>
      <c r="F86" s="75">
        <v>156510</v>
      </c>
      <c r="G86" s="141"/>
      <c r="H86" s="75">
        <v>100654</v>
      </c>
      <c r="I86" s="141"/>
      <c r="J86" s="75">
        <v>-85104</v>
      </c>
      <c r="K86" s="141"/>
      <c r="L86" s="75">
        <v>110414</v>
      </c>
      <c r="M86" s="141"/>
      <c r="N86" s="75">
        <v>19066</v>
      </c>
      <c r="O86" s="141"/>
      <c r="P86" s="75">
        <v>33166</v>
      </c>
    </row>
    <row r="87" spans="1:16">
      <c r="A87" s="28" t="s">
        <v>196</v>
      </c>
      <c r="C87" s="132">
        <f>((2*E87)+(2*G87)+(2*I87)+K87+M87+O87)/9</f>
        <v>9.6555555555555561E-2</v>
      </c>
      <c r="D87" s="75">
        <f>D116*C87</f>
        <v>164012481.73292658</v>
      </c>
      <c r="E87" s="141">
        <f>'Pakistan Investment Bonds'!J499</f>
        <v>0.126</v>
      </c>
      <c r="F87" s="75">
        <f>F116*E87</f>
        <v>172286845.91999999</v>
      </c>
      <c r="G87" s="141">
        <f>'Pakistan Investment Bonds'!J431</f>
        <v>0.10916666666666668</v>
      </c>
      <c r="H87" s="75">
        <f>H116*G87</f>
        <v>169946533.39833334</v>
      </c>
      <c r="I87" s="141">
        <f>'Pakistan Investment Bonds'!J345</f>
        <v>9.583333333333334E-2</v>
      </c>
      <c r="J87" s="75">
        <f>J116*I87</f>
        <v>114165638.77500001</v>
      </c>
      <c r="K87" s="281">
        <f>'Pakistan Investment Bonds'!$J260-0.015</f>
        <v>7.6666666666666675E-2</v>
      </c>
      <c r="L87" s="75">
        <f>L116*K87</f>
        <v>90398768.596666679</v>
      </c>
      <c r="M87" s="281">
        <f>'Pakistan Investment Bonds'!$J174-0.0175</f>
        <v>7.9500000000000001E-2</v>
      </c>
      <c r="N87" s="75">
        <f>N116*M87</f>
        <v>82497362.423999995</v>
      </c>
      <c r="O87" s="281">
        <f>'Pakistan Investment Bonds'!$J100-0.04</f>
        <v>5.0833333333333335E-2</v>
      </c>
      <c r="P87" s="75">
        <f>P116*O87</f>
        <v>31679914.155000001</v>
      </c>
    </row>
    <row r="88" spans="1:16" s="8" customFormat="1">
      <c r="A88" s="38" t="s">
        <v>100</v>
      </c>
      <c r="C88" s="135"/>
      <c r="D88" s="73">
        <f>D86+D87</f>
        <v>164068789.06625992</v>
      </c>
      <c r="E88" s="135">
        <f>F88/F116</f>
        <v>0.12611446178548741</v>
      </c>
      <c r="F88" s="73">
        <f>F86+F87</f>
        <v>172443355.91999999</v>
      </c>
      <c r="G88" s="135">
        <f>H88/H116</f>
        <v>0.109231322658448</v>
      </c>
      <c r="H88" s="73">
        <f>H86+H87</f>
        <v>170047187.39833334</v>
      </c>
      <c r="I88" s="135">
        <f>J88/J116</f>
        <v>9.5761895025909913E-2</v>
      </c>
      <c r="J88" s="73">
        <f>J86+J87</f>
        <v>114080534.77500001</v>
      </c>
      <c r="K88" s="135">
        <f>L88/L116</f>
        <v>7.6760308133964783E-2</v>
      </c>
      <c r="L88" s="73">
        <f>L86+L87</f>
        <v>90509182.596666679</v>
      </c>
      <c r="M88" s="135">
        <f>N88/N116</f>
        <v>7.9518373278314153E-2</v>
      </c>
      <c r="N88" s="73">
        <f>N86+N87</f>
        <v>82516428.423999995</v>
      </c>
      <c r="O88" s="135">
        <f>P88/P116</f>
        <v>5.0886551227961603E-2</v>
      </c>
      <c r="P88" s="73">
        <f>P86+P87</f>
        <v>31713080.155000001</v>
      </c>
    </row>
    <row r="89" spans="1:16">
      <c r="A89" s="27" t="s">
        <v>193</v>
      </c>
      <c r="C89" s="141"/>
      <c r="D89" s="74">
        <f>((2*F89)+(2*H89)+(2*J89)+L89+N89+P89)/9</f>
        <v>1851665.111111111</v>
      </c>
      <c r="E89" s="141"/>
      <c r="F89" s="74">
        <v>12551056</v>
      </c>
      <c r="G89" s="141"/>
      <c r="H89" s="74">
        <v>-992900</v>
      </c>
      <c r="I89" s="141"/>
      <c r="J89" s="74">
        <v>-2772531</v>
      </c>
      <c r="K89" s="141"/>
      <c r="L89" s="74">
        <v>-537141</v>
      </c>
      <c r="M89" s="141"/>
      <c r="N89" s="74">
        <v>-322645</v>
      </c>
      <c r="O89" s="141"/>
      <c r="P89" s="74">
        <v>-46478</v>
      </c>
    </row>
    <row r="90" spans="1:16">
      <c r="A90" s="44" t="s">
        <v>194</v>
      </c>
      <c r="C90" s="141"/>
      <c r="D90" s="75">
        <f>(F90+H90)/2</f>
        <v>200481</v>
      </c>
      <c r="E90" s="141"/>
      <c r="F90" s="75">
        <v>104464</v>
      </c>
      <c r="G90" s="141"/>
      <c r="H90" s="75">
        <v>296498</v>
      </c>
      <c r="I90" s="141"/>
      <c r="J90" s="75"/>
      <c r="K90" s="141"/>
      <c r="L90" s="75"/>
      <c r="M90" s="141"/>
      <c r="N90" s="75"/>
      <c r="O90" s="141"/>
      <c r="P90" s="75"/>
    </row>
    <row r="91" spans="1:16">
      <c r="A91" s="28" t="s">
        <v>196</v>
      </c>
      <c r="C91" s="132">
        <v>0.105</v>
      </c>
      <c r="D91" s="75">
        <f>D120*C91</f>
        <v>18012534.985372342</v>
      </c>
      <c r="E91" s="141">
        <f>('Ijara Sukuk VRR'!T14+'Ijara Sukuk FRR'!T14)/2</f>
        <v>0.16925000000000001</v>
      </c>
      <c r="F91" s="75">
        <f>F120*E91</f>
        <v>57781262.168000005</v>
      </c>
      <c r="G91" s="141">
        <f>('Ijara Sukuk VRR'!T13+'Ijara Sukuk FRR'!T13)/2</f>
        <v>0.19854919999999998</v>
      </c>
      <c r="H91" s="75">
        <f>H120*G91</f>
        <v>43933129.403153993</v>
      </c>
      <c r="I91" s="141">
        <f>('Ijara Sukuk VRR'!T12+'Ijara Sukuk FRR'!T12)/2</f>
        <v>0.134133</v>
      </c>
      <c r="J91" s="75">
        <f>J120*I91</f>
        <v>16443059.853957001</v>
      </c>
      <c r="K91" s="141">
        <f>('Ijara Sukuk VRR'!T11+'Ijara Sukuk FRR'!T11)/2</f>
        <v>9.2288666666666658E-2</v>
      </c>
      <c r="L91" s="75">
        <f>L120*K91</f>
        <v>10989810.657105332</v>
      </c>
      <c r="M91" s="141">
        <f>('Ijara Sukuk VRR'!T10+'Ijara Sukuk FRR'!T10)/2</f>
        <v>7.6859499999999997E-2</v>
      </c>
      <c r="N91" s="75">
        <f>N120*M91</f>
        <v>5176944.6390249999</v>
      </c>
      <c r="O91" s="141">
        <f>('Ijara Sukuk VRR'!T9+'Ijara Sukuk FRR'!T9)/2</f>
        <v>0.122</v>
      </c>
      <c r="P91" s="75">
        <f>P120*O91</f>
        <v>563770.90599999996</v>
      </c>
    </row>
    <row r="92" spans="1:16" s="8" customFormat="1">
      <c r="A92" s="38" t="s">
        <v>101</v>
      </c>
      <c r="C92" s="135"/>
      <c r="D92" s="73">
        <f>D90+D91</f>
        <v>18213015.985372342</v>
      </c>
      <c r="E92" s="135">
        <f>F92/F120</f>
        <v>0.16955599075438321</v>
      </c>
      <c r="F92" s="73">
        <f>F90+F91</f>
        <v>57885726.168000005</v>
      </c>
      <c r="G92" s="135">
        <f>H92/H120</f>
        <v>0.1998891783148016</v>
      </c>
      <c r="H92" s="73">
        <f>H90+H91</f>
        <v>44229627.403153993</v>
      </c>
      <c r="I92" s="135">
        <f>J92/J120</f>
        <v>0.134133</v>
      </c>
      <c r="J92" s="73">
        <f>J90+J91</f>
        <v>16443059.853957001</v>
      </c>
      <c r="K92" s="135">
        <f>L92/L120</f>
        <v>9.2288666666666658E-2</v>
      </c>
      <c r="L92" s="73">
        <f>L90+L91</f>
        <v>10989810.657105332</v>
      </c>
      <c r="M92" s="135">
        <f>N92/N120</f>
        <v>7.6859499999999997E-2</v>
      </c>
      <c r="N92" s="73">
        <f>N90+N91</f>
        <v>5176944.6390249999</v>
      </c>
      <c r="O92" s="135">
        <f>P92/P120</f>
        <v>0.122</v>
      </c>
      <c r="P92" s="73">
        <f>P90+P91</f>
        <v>563770.90599999996</v>
      </c>
    </row>
    <row r="93" spans="1:16">
      <c r="A93" s="43" t="s">
        <v>102</v>
      </c>
      <c r="C93" s="141">
        <f>D61</f>
        <v>0.115</v>
      </c>
      <c r="D93" s="245">
        <f>D121*C93</f>
        <v>2728451.132013896</v>
      </c>
      <c r="E93" s="141">
        <f>F61</f>
        <v>0.18032786885245902</v>
      </c>
      <c r="F93" s="245">
        <f>F121*E93</f>
        <v>2372427.704918033</v>
      </c>
      <c r="G93" s="141">
        <f>H61</f>
        <v>0.21386301369863014</v>
      </c>
      <c r="H93" s="245">
        <f>H121*G93</f>
        <v>4985518.3293698635</v>
      </c>
      <c r="I93" s="141">
        <f>J61</f>
        <v>0.14582876712328768</v>
      </c>
      <c r="J93" s="245">
        <f>J121*I93</f>
        <v>1946415.3452465755</v>
      </c>
      <c r="K93" s="281">
        <f>L61-0.01</f>
        <v>6.7787671232876712E-2</v>
      </c>
      <c r="L93" s="245">
        <f>L121*K93</f>
        <v>1116414.205869863</v>
      </c>
      <c r="M93" s="281">
        <f>N61-0.015</f>
        <v>6.9439890710382521E-2</v>
      </c>
      <c r="N93" s="245">
        <f>N121*M93</f>
        <v>791462.33353825146</v>
      </c>
      <c r="O93" s="281">
        <f>P61-0.04</f>
        <v>8.4541095890410978E-2</v>
      </c>
      <c r="P93" s="245">
        <f>P121*O93</f>
        <v>421287.72527397267</v>
      </c>
    </row>
    <row r="94" spans="1:16" ht="18" customHeight="1" thickBot="1">
      <c r="A94" s="28" t="s">
        <v>103</v>
      </c>
      <c r="C94" s="141">
        <f>D61</f>
        <v>0.115</v>
      </c>
      <c r="D94" s="246">
        <f>D122*C94</f>
        <v>1235956.1323789454</v>
      </c>
      <c r="E94" s="141">
        <f>F61</f>
        <v>0.18032786885245902</v>
      </c>
      <c r="F94" s="246">
        <f>F122*E94</f>
        <v>465376.63934426231</v>
      </c>
      <c r="G94" s="141">
        <f>H61</f>
        <v>0.21386301369863014</v>
      </c>
      <c r="H94" s="246">
        <f>H122*G94</f>
        <v>1185476.4752876712</v>
      </c>
      <c r="I94" s="141">
        <f>J61</f>
        <v>0.14582876712328768</v>
      </c>
      <c r="J94" s="246">
        <f>J122*I94</f>
        <v>683362.35246575344</v>
      </c>
      <c r="K94" s="281">
        <f>L61-0.01</f>
        <v>6.7787671232876712E-2</v>
      </c>
      <c r="L94" s="246">
        <f>L122*K94</f>
        <v>800580.53178082185</v>
      </c>
      <c r="M94" s="281">
        <f>N61-0.015</f>
        <v>6.9439890710382521E-2</v>
      </c>
      <c r="N94" s="246">
        <f>N122*M94</f>
        <v>786374.68106557382</v>
      </c>
      <c r="O94" s="281">
        <f>P61-0.04</f>
        <v>8.4541095890410978E-2</v>
      </c>
      <c r="P94" s="246">
        <f>P122*O94</f>
        <v>912536.58904109604</v>
      </c>
    </row>
    <row r="95" spans="1:16" s="8" customFormat="1" ht="16.899999999999999" customHeight="1" thickBot="1">
      <c r="A95" s="244" t="s">
        <v>104</v>
      </c>
      <c r="C95" s="135">
        <f>D95/D103</f>
        <v>0.80210267598194229</v>
      </c>
      <c r="D95" s="243">
        <f>D94+D93+D92+D88+D84</f>
        <v>248892790.52011198</v>
      </c>
      <c r="E95" s="135">
        <f>F95/F103</f>
        <v>0.64848171192602377</v>
      </c>
      <c r="F95" s="243">
        <f>F94+F93+F92+F88+F84</f>
        <v>306423107.59796125</v>
      </c>
      <c r="G95" s="135">
        <f>H95/H103</f>
        <v>0.83748936987040634</v>
      </c>
      <c r="H95" s="243">
        <f>H94+H93+H92+H88+H84</f>
        <v>310531367.75844789</v>
      </c>
      <c r="I95" s="135">
        <f>J95/J103</f>
        <v>0.80623969653355132</v>
      </c>
      <c r="J95" s="243">
        <f>J94+J93+J92+J88+J84</f>
        <v>182210449.56927791</v>
      </c>
      <c r="K95" s="135">
        <f>L95/L103</f>
        <v>0.94537171401967157</v>
      </c>
      <c r="L95" s="243">
        <f>L94+L93+L92+L88+L84</f>
        <v>135408173.35456026</v>
      </c>
      <c r="M95" s="135">
        <f>N95/N103</f>
        <v>0.95890952988157419</v>
      </c>
      <c r="N95" s="243">
        <f>N94+N93+N92+N88+N84</f>
        <v>142630585.40585756</v>
      </c>
      <c r="O95" s="135">
        <f>P95/P103</f>
        <v>1.0186668682848832</v>
      </c>
      <c r="P95" s="243">
        <f>P94+P93+P92+P88+P84</f>
        <v>112198432.00938456</v>
      </c>
    </row>
    <row r="96" spans="1:16">
      <c r="A96" s="43" t="s">
        <v>105</v>
      </c>
      <c r="D96" s="74">
        <f t="shared" ref="D96:D102" si="9">((2*F96)+(2*H96)+(2*J96)+L96+N96+P96)/9</f>
        <v>4251769.8299155682</v>
      </c>
      <c r="F96" s="247">
        <f>(F$103-F$95-F$97)*(E124/(E$131-E$123-E$125))</f>
        <v>14009693.597966796</v>
      </c>
      <c r="H96" s="247">
        <f>(H$103-H$95-H$97)*(G124/(G$131-G$123-G$125))</f>
        <v>3741213.4823714434</v>
      </c>
      <c r="J96" s="247">
        <f>(J$103-J$95-J$97)*(I124/(I$131-I$123-I$125))</f>
        <v>1481728.731212771</v>
      </c>
      <c r="L96" s="247">
        <f>(L$103-L$95-L$97)*(K124/(K$131-K$123-K$125))</f>
        <v>200139.49481347809</v>
      </c>
      <c r="N96" s="247">
        <f>(N$103-N$95-N$97)*(M124/(M$131-M$123-M$125))</f>
        <v>109780.06523400274</v>
      </c>
      <c r="P96" s="247">
        <f>(P$103-P$95-P$97)*(O124/(O$131-O$123-O$125))</f>
        <v>-509262.71390939836</v>
      </c>
    </row>
    <row r="97" spans="1:16" ht="13.15" customHeight="1">
      <c r="A97" s="43" t="s">
        <v>106</v>
      </c>
      <c r="C97" s="141">
        <f>D61</f>
        <v>0.115</v>
      </c>
      <c r="D97" s="245">
        <f>D125*C97</f>
        <v>10460011.298565937</v>
      </c>
      <c r="E97" s="141">
        <f>F61</f>
        <v>0.18032786885245902</v>
      </c>
      <c r="F97" s="245">
        <f>F125*E97</f>
        <v>13548603.885245902</v>
      </c>
      <c r="G97" s="141">
        <f>H61</f>
        <v>0.21386301369863014</v>
      </c>
      <c r="H97" s="245">
        <f>H125*G97</f>
        <v>16503262.133260274</v>
      </c>
      <c r="I97" s="141">
        <f>J61</f>
        <v>0.14582876712328768</v>
      </c>
      <c r="J97" s="245">
        <f>J125*I97</f>
        <v>10410293.510650685</v>
      </c>
      <c r="K97" s="281">
        <f>L61-0.01</f>
        <v>6.7787671232876712E-2</v>
      </c>
      <c r="L97" s="245">
        <f>L125*K97</f>
        <v>5335043.7396164387</v>
      </c>
      <c r="M97" s="281">
        <f>N61-0.015</f>
        <v>6.9439890710382521E-2</v>
      </c>
      <c r="N97" s="245">
        <f>N125*M97</f>
        <v>4915891.8614071039</v>
      </c>
      <c r="O97" s="281">
        <f>P61-0.04</f>
        <v>8.4541095890410978E-2</v>
      </c>
      <c r="P97" s="245">
        <f>P125*O97</f>
        <v>2472198.491746576</v>
      </c>
    </row>
    <row r="98" spans="1:16">
      <c r="A98" s="43" t="s">
        <v>107</v>
      </c>
      <c r="D98" s="245">
        <f t="shared" si="9"/>
        <v>38142518.121204562</v>
      </c>
      <c r="F98" s="247">
        <f>(F$103-F$95-F$97)*(E126/(E$131-E$123-E$125))</f>
        <v>113339705.68913008</v>
      </c>
      <c r="H98" s="247">
        <f>(H$103-H$95-H$97)*(G126/(G$131-G$123-G$125))</f>
        <v>33351332.403851077</v>
      </c>
      <c r="J98" s="247">
        <f>(J$103-J$95-J$97)*(I126/(I$131-I$123-I$125))</f>
        <v>25051716.398539752</v>
      </c>
      <c r="L98" s="247">
        <f>(L$103-L$95-L$97)*(K126/(K$131-K$123-K$125))</f>
        <v>1699286.0632437295</v>
      </c>
      <c r="N98" s="247">
        <f>(N$103-N$95-N$97)*(M126/(M$131-M$123-M$125))</f>
        <v>752754.61319090019</v>
      </c>
      <c r="P98" s="247">
        <f>(P$103-P$95-P$97)*(O126/(O$131-O$123-O$125))</f>
        <v>-2654886.5686354134</v>
      </c>
    </row>
    <row r="99" spans="1:16">
      <c r="A99" s="43" t="s">
        <v>108</v>
      </c>
      <c r="D99" s="245">
        <f t="shared" si="9"/>
        <v>14570.832229959844</v>
      </c>
      <c r="F99" s="247">
        <f t="shared" ref="F99:H102" si="10">(F$103-F$95-F$97)*(E127/(E$131-E$123-E$125))</f>
        <v>51062.449172781031</v>
      </c>
      <c r="H99" s="247">
        <f t="shared" si="10"/>
        <v>8724.8212178873891</v>
      </c>
      <c r="J99" s="247">
        <f>(J$103-J$95-J$97)*(I127/(I$131-I$123-I$125))</f>
        <v>6119.9897797858221</v>
      </c>
      <c r="L99" s="247">
        <f>(L$103-L$95-L$97)*(K127/(K$131-K$123-K$125))</f>
        <v>760.34488864194839</v>
      </c>
      <c r="N99" s="247">
        <f>(N$103-N$95-N$97)*(M127/(M$131-M$123-M$125))</f>
        <v>476.23320322519101</v>
      </c>
      <c r="P99" s="247">
        <f>(P$103-P$95-P$97)*(O127/(O$131-O$123-O$125))</f>
        <v>-1913.6083631370411</v>
      </c>
    </row>
    <row r="100" spans="1:16">
      <c r="A100" s="43" t="s">
        <v>109</v>
      </c>
      <c r="D100" s="245">
        <f t="shared" si="9"/>
        <v>539330.94235134672</v>
      </c>
      <c r="F100" s="247">
        <f t="shared" si="10"/>
        <v>1881546.6211720281</v>
      </c>
      <c r="H100" s="247">
        <f t="shared" si="10"/>
        <v>282608.90010526165</v>
      </c>
      <c r="J100" s="247">
        <f>(J$103-J$95-J$97)*(I128/(I$131-I$123-I$125))</f>
        <v>263462.59382090811</v>
      </c>
      <c r="L100" s="247">
        <f>(L$103-L$95-L$97)*(K128/(K$131-K$123-K$125))</f>
        <v>995.28438747482062</v>
      </c>
      <c r="N100" s="247">
        <f>(N$103-N$95-N$97)*(M128/(M$131-M$123-M$125))</f>
        <v>538.8748643424309</v>
      </c>
      <c r="P100" s="247">
        <f>(P$103-P$95-P$97)*(O128/(O$131-O$123-O$125))</f>
        <v>-2791.9082860926133</v>
      </c>
    </row>
    <row r="101" spans="1:16">
      <c r="A101" s="43" t="s">
        <v>110</v>
      </c>
      <c r="D101" s="245">
        <f t="shared" si="9"/>
        <v>177523.98719830639</v>
      </c>
      <c r="F101" s="247">
        <f t="shared" si="10"/>
        <v>472775.60903447494</v>
      </c>
      <c r="H101" s="247">
        <f t="shared" si="10"/>
        <v>157471.46038109571</v>
      </c>
      <c r="J101" s="247">
        <f>(J$103-J$95-J$97)*(I129/(I$131-I$123-I$125))</f>
        <v>158057.03340305545</v>
      </c>
      <c r="L101" s="247">
        <f>(L$103-L$95-L$97)*(K129/(K$131-K$123-K$125))</f>
        <v>13943.967008140247</v>
      </c>
      <c r="N101" s="247">
        <f>(N$103-N$95-N$97)*(M129/(M$131-M$123-M$125))</f>
        <v>9148.6717534965919</v>
      </c>
      <c r="P101" s="247">
        <f>(P$103-P$95-P$97)*(O129/(O$131-O$123-O$125))</f>
        <v>-1984.9596141314976</v>
      </c>
    </row>
    <row r="102" spans="1:16">
      <c r="A102" s="43" t="s">
        <v>111</v>
      </c>
      <c r="D102" s="245">
        <f t="shared" si="9"/>
        <v>7821896.0901824431</v>
      </c>
      <c r="F102" s="247">
        <f t="shared" si="10"/>
        <v>22797404.55031665</v>
      </c>
      <c r="H102" s="247">
        <f t="shared" si="10"/>
        <v>6212448.0403650785</v>
      </c>
      <c r="J102" s="247">
        <f>(J$103-J$95-J$97)*(I130/(I$131-I$123-I$125))</f>
        <v>6418517.1733151358</v>
      </c>
      <c r="L102" s="247">
        <f>(L$103-L$95-L$97)*(K130/(K$131-K$123-K$125))</f>
        <v>574389.75148184202</v>
      </c>
      <c r="N102" s="247">
        <f>(N$103-N$95-N$97)*(M130/(M$131-M$123-M$125))</f>
        <v>323308.27448936552</v>
      </c>
      <c r="P102" s="247">
        <f>(P$103-P$95-P$97)*(O130/(O$131-O$123-O$125))</f>
        <v>-1357372.7423229588</v>
      </c>
    </row>
    <row r="103" spans="1:16" s="8" customFormat="1">
      <c r="A103" s="43" t="s">
        <v>197</v>
      </c>
      <c r="D103" s="73">
        <f>D102+D101+D100+D99+D98+D97+D96+D95</f>
        <v>310300411.62176013</v>
      </c>
      <c r="F103" s="73">
        <f>F42</f>
        <v>472523900</v>
      </c>
      <c r="H103" s="73">
        <f>H42</f>
        <v>370788429</v>
      </c>
      <c r="J103" s="73">
        <f>J42</f>
        <v>226000345</v>
      </c>
      <c r="L103" s="73">
        <f>L42</f>
        <v>143232732</v>
      </c>
      <c r="N103" s="73">
        <f>N42</f>
        <v>148742484</v>
      </c>
      <c r="P103" s="73">
        <f>P42</f>
        <v>110142418</v>
      </c>
    </row>
    <row r="104" spans="1:16" s="8" customFormat="1">
      <c r="A104" s="8" t="s">
        <v>71</v>
      </c>
      <c r="D104" s="154">
        <f>SOFP!D7</f>
        <v>2807667852.7154779</v>
      </c>
      <c r="F104" s="154">
        <f>SOFP!F7</f>
        <v>2528200439</v>
      </c>
      <c r="H104" s="154">
        <f>SOFP!H7</f>
        <v>2562299087</v>
      </c>
      <c r="J104" s="154">
        <f>SOFP!J7</f>
        <v>1948801042</v>
      </c>
      <c r="L104" s="154">
        <f>SOFP!L7</f>
        <v>1948955978</v>
      </c>
      <c r="N104" s="154">
        <f>SOFP!N7</f>
        <v>1948576822</v>
      </c>
      <c r="P104" s="154">
        <f>SOFP!P7</f>
        <v>1379607379</v>
      </c>
    </row>
    <row r="105" spans="1:16" s="8" customFormat="1">
      <c r="A105" s="8" t="s">
        <v>198</v>
      </c>
      <c r="D105" s="135">
        <f>D103/D104</f>
        <v>0.11051891744304743</v>
      </c>
      <c r="F105" s="135">
        <f>F103/F104</f>
        <v>0.18690128073346166</v>
      </c>
      <c r="H105" s="135">
        <f>H103/H104</f>
        <v>0.14470926945305507</v>
      </c>
      <c r="J105" s="135">
        <f>J103/J104</f>
        <v>0.11596891633845914</v>
      </c>
      <c r="L105" s="135">
        <f>L103/L104</f>
        <v>7.3492030408498027E-2</v>
      </c>
      <c r="N105" s="135">
        <f>N103/N104</f>
        <v>7.6333908071087586E-2</v>
      </c>
      <c r="P105" s="135">
        <f>P103/P104</f>
        <v>7.9836060372361919E-2</v>
      </c>
    </row>
    <row r="107" spans="1:16">
      <c r="D107" s="4"/>
      <c r="F107" s="4">
        <f>F103-SUM(F84:F102)</f>
        <v>-557042913.68596113</v>
      </c>
      <c r="H107" s="4"/>
      <c r="J107" s="4"/>
      <c r="L107" s="4"/>
      <c r="N107" s="4"/>
      <c r="P107" s="4"/>
    </row>
    <row r="109" spans="1:16">
      <c r="A109" t="s">
        <v>131</v>
      </c>
      <c r="C109" s="141">
        <f>SOFP!C88</f>
        <v>0.64083918118528238</v>
      </c>
      <c r="D109" s="74">
        <f>SOFP!D88</f>
        <v>361614402.61199391</v>
      </c>
      <c r="E109" s="141">
        <f>SOFP!E88</f>
        <v>0.63467472455826524</v>
      </c>
      <c r="F109" s="74">
        <f>SOFP!F88</f>
        <v>283446069</v>
      </c>
      <c r="G109" s="141">
        <f>SOFP!G88</f>
        <v>0.526673466496132</v>
      </c>
      <c r="H109" s="74">
        <f>SOFP!H88</f>
        <v>223185544</v>
      </c>
      <c r="I109" s="141">
        <f>SOFP!I88</f>
        <v>0.65922999912825708</v>
      </c>
      <c r="J109" s="74">
        <f>SOFP!J88</f>
        <v>222366674</v>
      </c>
      <c r="K109" s="141">
        <f>SOFP!K88</f>
        <v>0.71417392668237367</v>
      </c>
      <c r="L109" s="74">
        <f>SOFP!L88</f>
        <v>279741535</v>
      </c>
      <c r="M109" s="141">
        <f>SOFP!M88</f>
        <v>0.83261800321175794</v>
      </c>
      <c r="N109" s="74">
        <f>SOFP!N88</f>
        <v>526523839</v>
      </c>
      <c r="O109" s="141">
        <f>SOFP!O88</f>
        <v>0.57960432040810173</v>
      </c>
      <c r="P109" s="74">
        <f>SOFP!P88</f>
        <v>350931325</v>
      </c>
    </row>
    <row r="110" spans="1:16">
      <c r="A110" t="s">
        <v>132</v>
      </c>
      <c r="C110" s="3">
        <f>SOFP!C89</f>
        <v>0.18259970460541522</v>
      </c>
      <c r="D110" s="75">
        <f>SOFP!D89</f>
        <v>103037837.00597839</v>
      </c>
      <c r="E110" s="3">
        <f>SOFP!E89</f>
        <v>0.15861347464452522</v>
      </c>
      <c r="F110" s="75">
        <f>SOFP!F89</f>
        <v>70836862</v>
      </c>
      <c r="G110" s="3">
        <f>SOFP!G89</f>
        <v>0.20982298356439438</v>
      </c>
      <c r="H110" s="75">
        <f>SOFP!H89</f>
        <v>88915542</v>
      </c>
      <c r="I110" s="3">
        <f>SOFP!I89</f>
        <v>1.7425123305824786E-2</v>
      </c>
      <c r="J110" s="75">
        <f>SOFP!J89</f>
        <v>5877716</v>
      </c>
      <c r="K110" s="3">
        <f>SOFP!K89</f>
        <v>0.28481208670369057</v>
      </c>
      <c r="L110" s="75">
        <f>SOFP!L89</f>
        <v>111560738</v>
      </c>
      <c r="M110" s="3">
        <f>SOFP!M89</f>
        <v>0.16691974314234992</v>
      </c>
      <c r="N110" s="75">
        <f>SOFP!N89</f>
        <v>105555277</v>
      </c>
      <c r="O110" s="3">
        <f>SOFP!O89</f>
        <v>0.41994234857320778</v>
      </c>
      <c r="P110" s="75">
        <f>SOFP!P89</f>
        <v>254261260</v>
      </c>
    </row>
    <row r="111" spans="1:16">
      <c r="A111" t="s">
        <v>133</v>
      </c>
      <c r="C111" s="3">
        <f>SOFP!C90</f>
        <v>0.17656111420930232</v>
      </c>
      <c r="D111" s="76">
        <f>SOFP!D90</f>
        <v>99630365.486103341</v>
      </c>
      <c r="E111" s="3">
        <f>SOFP!E90</f>
        <v>0.20671180079720952</v>
      </c>
      <c r="F111" s="76">
        <f>SOFP!F90</f>
        <v>92317600</v>
      </c>
      <c r="G111" s="3">
        <f>SOFP!G90</f>
        <v>0.26350354993947356</v>
      </c>
      <c r="H111" s="76">
        <f>SOFP!H90</f>
        <v>111663463</v>
      </c>
      <c r="I111" s="3">
        <f>SOFP!I90</f>
        <v>0.32334487756591818</v>
      </c>
      <c r="J111" s="76">
        <f>SOFP!J90</f>
        <v>109068345</v>
      </c>
      <c r="K111" s="3">
        <f>SOFP!K90</f>
        <v>1.0139866139357954E-3</v>
      </c>
      <c r="L111" s="76">
        <f>SOFP!L90</f>
        <v>397178</v>
      </c>
      <c r="M111" s="3">
        <f>SOFP!M90</f>
        <v>4.6225364589208703E-4</v>
      </c>
      <c r="N111" s="76">
        <f>SOFP!N90</f>
        <v>292316</v>
      </c>
      <c r="O111" s="3">
        <f>SOFP!O90</f>
        <v>4.5333101869049318E-4</v>
      </c>
      <c r="P111" s="76">
        <f>SOFP!P90</f>
        <v>274477</v>
      </c>
    </row>
    <row r="112" spans="1:16" s="8" customFormat="1">
      <c r="A112" s="8" t="s">
        <v>99</v>
      </c>
      <c r="C112" s="135">
        <f>D112/D$131</f>
        <v>0.20097911672789975</v>
      </c>
      <c r="D112" s="73">
        <v>564282605.10407567</v>
      </c>
      <c r="E112" s="135">
        <f>F112/F$131</f>
        <v>0.17664759649224948</v>
      </c>
      <c r="F112" s="73">
        <v>446600531</v>
      </c>
      <c r="G112" s="135">
        <f>H112/H$131</f>
        <v>0.16538449830076374</v>
      </c>
      <c r="H112" s="73">
        <v>423764549</v>
      </c>
      <c r="I112" s="135">
        <f>J112/J$131</f>
        <v>0.17308731252207529</v>
      </c>
      <c r="J112" s="73">
        <v>337312735</v>
      </c>
      <c r="K112" s="135">
        <f>L112/L$131</f>
        <v>0.20097911672789975</v>
      </c>
      <c r="L112" s="73">
        <v>391699451</v>
      </c>
      <c r="M112" s="135">
        <f>N112/N$131</f>
        <v>0.32452989528580156</v>
      </c>
      <c r="N112" s="73">
        <v>632371432</v>
      </c>
      <c r="O112" s="135">
        <f>P112/P$131</f>
        <v>0.43886910958599623</v>
      </c>
      <c r="P112" s="73">
        <v>605467062</v>
      </c>
    </row>
    <row r="113" spans="1:16">
      <c r="A113" t="s">
        <v>131</v>
      </c>
      <c r="C113" s="141">
        <f>SOFP!C95</f>
        <v>0.7431027424540142</v>
      </c>
      <c r="D113" s="74">
        <f>SOFP!D95</f>
        <v>1262259061.8548214</v>
      </c>
      <c r="E113" s="141">
        <f>SOFP!E95</f>
        <v>0.78050316116669904</v>
      </c>
      <c r="F113" s="74">
        <f>SOFP!F95</f>
        <v>1067225618</v>
      </c>
      <c r="G113" s="141">
        <f>SOFP!G95</f>
        <v>0.71558190349565143</v>
      </c>
      <c r="H113" s="74">
        <f>SOFP!H95</f>
        <v>1113990814</v>
      </c>
      <c r="I113" s="141">
        <f>SOFP!I95</f>
        <v>0.76113672083438721</v>
      </c>
      <c r="J113" s="74">
        <f>SOFP!J95</f>
        <v>906737321</v>
      </c>
      <c r="K113" s="141">
        <f>SOFP!K95</f>
        <v>0.67942226924240878</v>
      </c>
      <c r="L113" s="74">
        <f>SOFP!L95</f>
        <v>801116563</v>
      </c>
      <c r="M113" s="141">
        <f>SOFP!M95</f>
        <v>0.76629244817054876</v>
      </c>
      <c r="N113" s="74">
        <f>SOFP!N95</f>
        <v>795183721</v>
      </c>
      <c r="O113" s="141">
        <f>SOFP!O95</f>
        <v>0.72776639367969487</v>
      </c>
      <c r="P113" s="74">
        <f>SOFP!P95</f>
        <v>453552332</v>
      </c>
    </row>
    <row r="114" spans="1:16">
      <c r="A114" t="s">
        <v>132</v>
      </c>
      <c r="C114" s="3">
        <f>SOFP!C96</f>
        <v>5.1326057167881467E-2</v>
      </c>
      <c r="D114" s="75">
        <f>SOFP!D96</f>
        <v>87184149.738817871</v>
      </c>
      <c r="E114" s="3">
        <f>SOFP!E96</f>
        <v>3.4810237264340071E-2</v>
      </c>
      <c r="F114" s="75">
        <f>SOFP!F96</f>
        <v>47597984</v>
      </c>
      <c r="G114" s="3">
        <f>SOFP!G96</f>
        <v>9.0534687708341471E-2</v>
      </c>
      <c r="H114" s="75">
        <f>SOFP!H96</f>
        <v>140940974</v>
      </c>
      <c r="I114" s="3">
        <f>SOFP!I96</f>
        <v>4.3974206721640617E-2</v>
      </c>
      <c r="J114" s="75">
        <f>SOFP!J96</f>
        <v>52386192</v>
      </c>
      <c r="K114" s="3">
        <f>SOFP!K96</f>
        <v>7.8289397630809818E-2</v>
      </c>
      <c r="L114" s="75">
        <f>SOFP!L96</f>
        <v>92312154</v>
      </c>
      <c r="M114" s="3">
        <f>SOFP!M96</f>
        <v>2.4741573567038093E-2</v>
      </c>
      <c r="N114" s="75">
        <f>SOFP!N96</f>
        <v>25674397</v>
      </c>
      <c r="O114" s="3">
        <f>SOFP!O96</f>
        <v>2.0265279924440924E-2</v>
      </c>
      <c r="P114" s="75">
        <f>SOFP!P96</f>
        <v>12629554</v>
      </c>
    </row>
    <row r="115" spans="1:16">
      <c r="A115" t="s">
        <v>133</v>
      </c>
      <c r="C115" s="3">
        <f>SOFP!C97</f>
        <v>0.20557120037810436</v>
      </c>
      <c r="D115" s="76">
        <f>SOFP!D97</f>
        <v>349190085.98557729</v>
      </c>
      <c r="E115" s="3">
        <f>SOFP!E97</f>
        <v>0.18468660156896091</v>
      </c>
      <c r="F115" s="76">
        <f>SOFP!F97</f>
        <v>252532318</v>
      </c>
      <c r="G115" s="3">
        <f>SOFP!G97</f>
        <v>0.1938834087960071</v>
      </c>
      <c r="H115" s="76">
        <f>SOFP!H97</f>
        <v>301830350</v>
      </c>
      <c r="I115" s="3">
        <f>SOFP!I97</f>
        <v>0.19488907244397216</v>
      </c>
      <c r="J115" s="76">
        <f>SOFP!J97</f>
        <v>232170109</v>
      </c>
      <c r="K115" s="3">
        <f>SOFP!K97</f>
        <v>0.24228833312678141</v>
      </c>
      <c r="L115" s="76">
        <f>SOFP!L97</f>
        <v>285685656</v>
      </c>
      <c r="M115" s="3">
        <f>SOFP!M97</f>
        <v>0.20896597826241312</v>
      </c>
      <c r="N115" s="76">
        <f>SOFP!N97</f>
        <v>216844554</v>
      </c>
      <c r="O115" s="3">
        <f>SOFP!O97</f>
        <v>0.25196832639586425</v>
      </c>
      <c r="P115" s="76">
        <f>SOFP!P97</f>
        <v>157029540</v>
      </c>
    </row>
    <row r="116" spans="1:16" s="8" customFormat="1">
      <c r="A116" s="8" t="s">
        <v>100</v>
      </c>
      <c r="C116" s="135">
        <f t="shared" ref="C116:C126" si="11">D116/D$131</f>
        <v>0.60499795085674324</v>
      </c>
      <c r="D116" s="92">
        <v>1698633297.5792165</v>
      </c>
      <c r="E116" s="135">
        <f t="shared" ref="E116:E126" si="12">F116/F$131</f>
        <v>0.54084158000575366</v>
      </c>
      <c r="F116" s="92">
        <v>1367355920</v>
      </c>
      <c r="G116" s="135">
        <f t="shared" ref="G116:G126" si="13">H116/H$131</f>
        <v>0.60756456804685266</v>
      </c>
      <c r="H116" s="92">
        <v>1556762138</v>
      </c>
      <c r="I116" s="135">
        <f t="shared" ref="I116:I126" si="14">J116/J$131</f>
        <v>0.61129566144802994</v>
      </c>
      <c r="J116" s="92">
        <v>1191293622</v>
      </c>
      <c r="K116" s="135">
        <f t="shared" ref="K116:K126" si="15">L116/L$131</f>
        <v>0.60499795085674324</v>
      </c>
      <c r="L116" s="92">
        <v>1179114373</v>
      </c>
      <c r="M116" s="135">
        <f t="shared" ref="M116:M126" si="16">N116/N$131</f>
        <v>0.53254388550866172</v>
      </c>
      <c r="N116" s="92">
        <v>1037702672</v>
      </c>
      <c r="O116" s="135">
        <f t="shared" ref="O116:O126" si="17">P116/P$131</f>
        <v>0.45173100367999697</v>
      </c>
      <c r="P116" s="92">
        <v>623211426</v>
      </c>
    </row>
    <row r="117" spans="1:16">
      <c r="A117" t="s">
        <v>131</v>
      </c>
      <c r="C117" s="132">
        <f>SOFP!C102</f>
        <v>0.87934813318925975</v>
      </c>
      <c r="D117" s="246">
        <f>SOFP!D102</f>
        <v>150850371.55612764</v>
      </c>
      <c r="E117" s="132">
        <f>SOFP!E102</f>
        <v>0.87934813318925975</v>
      </c>
      <c r="F117" s="246">
        <f>SOFP!F102</f>
        <v>300205879</v>
      </c>
      <c r="G117" s="132">
        <f>SOFP!G102</f>
        <v>0</v>
      </c>
      <c r="H117" s="246">
        <f>SOFP!H102</f>
        <v>213476351</v>
      </c>
      <c r="I117" s="132">
        <f>SOFP!I102</f>
        <v>0</v>
      </c>
      <c r="J117" s="246">
        <f>SOFP!J102</f>
        <v>122587729</v>
      </c>
      <c r="K117" s="132">
        <f>SOFP!K102</f>
        <v>0</v>
      </c>
      <c r="L117" s="246">
        <f>SOFP!L102</f>
        <v>119080826</v>
      </c>
      <c r="M117" s="132">
        <f>SOFP!M102</f>
        <v>0</v>
      </c>
      <c r="N117" s="246">
        <f>SOFP!N102</f>
        <v>67355950</v>
      </c>
      <c r="O117" s="132">
        <f>SOFP!O102</f>
        <v>0</v>
      </c>
      <c r="P117" s="246">
        <f>SOFP!P102</f>
        <v>4621073</v>
      </c>
    </row>
    <row r="118" spans="1:16">
      <c r="A118" t="s">
        <v>132</v>
      </c>
      <c r="C118" s="132">
        <f>SOFP!C103</f>
        <v>3.7830438614242907E-2</v>
      </c>
      <c r="D118" s="279">
        <f>SOFP!D103</f>
        <v>6489734.2766764881</v>
      </c>
      <c r="E118" s="132">
        <f>SOFP!E103</f>
        <v>3.7830438614242907E-2</v>
      </c>
      <c r="F118" s="279">
        <f>SOFP!F103</f>
        <v>12915158</v>
      </c>
      <c r="G118" s="132">
        <f>SOFP!G103</f>
        <v>0</v>
      </c>
      <c r="H118" s="279">
        <f>SOFP!H103</f>
        <v>7794394</v>
      </c>
      <c r="I118" s="132">
        <f>SOFP!I103</f>
        <v>0</v>
      </c>
      <c r="J118" s="279">
        <f>SOFP!J103</f>
        <v>0</v>
      </c>
      <c r="K118" s="132">
        <f>SOFP!K103</f>
        <v>0</v>
      </c>
      <c r="L118" s="279">
        <f>SOFP!L103</f>
        <v>0</v>
      </c>
      <c r="M118" s="132">
        <f>SOFP!M103</f>
        <v>0</v>
      </c>
      <c r="N118" s="279">
        <f>SOFP!N103</f>
        <v>0</v>
      </c>
      <c r="O118" s="132">
        <f>SOFP!O103</f>
        <v>0</v>
      </c>
      <c r="P118" s="279">
        <f>SOFP!P103</f>
        <v>0</v>
      </c>
    </row>
    <row r="119" spans="1:16">
      <c r="A119" t="s">
        <v>133</v>
      </c>
      <c r="C119" s="132">
        <f>SOFP!C104</f>
        <v>8.2821428196497335E-2</v>
      </c>
      <c r="D119" s="247">
        <f>SOFP!D104</f>
        <v>14207846.408837255</v>
      </c>
      <c r="E119" s="132">
        <f>SOFP!E104</f>
        <v>8.2821428196497335E-2</v>
      </c>
      <c r="F119" s="247">
        <f>SOFP!F104</f>
        <v>28274899</v>
      </c>
      <c r="G119" s="132">
        <f>SOFP!G104</f>
        <v>0</v>
      </c>
      <c r="H119" s="247">
        <f>SOFP!H104</f>
        <v>0</v>
      </c>
      <c r="I119" s="132">
        <f>SOFP!I104</f>
        <v>0</v>
      </c>
      <c r="J119" s="247">
        <f>SOFP!J104</f>
        <v>0</v>
      </c>
      <c r="K119" s="132">
        <f>SOFP!K104</f>
        <v>0</v>
      </c>
      <c r="L119" s="247">
        <f>SOFP!L104</f>
        <v>0</v>
      </c>
      <c r="M119" s="132">
        <f>SOFP!M104</f>
        <v>0</v>
      </c>
      <c r="N119" s="247">
        <f>SOFP!N104</f>
        <v>0</v>
      </c>
      <c r="O119" s="132">
        <f>SOFP!O104</f>
        <v>0</v>
      </c>
      <c r="P119" s="247">
        <f>SOFP!P104</f>
        <v>0</v>
      </c>
    </row>
    <row r="120" spans="1:16" s="8" customFormat="1">
      <c r="A120" s="8" t="s">
        <v>101</v>
      </c>
      <c r="C120" s="278">
        <f t="shared" si="11"/>
        <v>6.1099802840185034E-2</v>
      </c>
      <c r="D120" s="73">
        <v>171547952.24164137</v>
      </c>
      <c r="E120" s="278">
        <f t="shared" si="12"/>
        <v>0.13503515414902592</v>
      </c>
      <c r="F120" s="73">
        <v>341395936</v>
      </c>
      <c r="G120" s="278">
        <f t="shared" si="13"/>
        <v>8.635632979874687E-2</v>
      </c>
      <c r="H120" s="73">
        <v>221270745</v>
      </c>
      <c r="I120" s="278">
        <f t="shared" si="14"/>
        <v>6.2904178701686062E-2</v>
      </c>
      <c r="J120" s="73">
        <v>122587729</v>
      </c>
      <c r="K120" s="278">
        <f t="shared" si="15"/>
        <v>6.1099802840185034E-2</v>
      </c>
      <c r="L120" s="73">
        <v>119080826</v>
      </c>
      <c r="M120" s="278">
        <f t="shared" si="16"/>
        <v>3.4566740833377317E-2</v>
      </c>
      <c r="N120" s="73">
        <v>67355950</v>
      </c>
      <c r="O120" s="278">
        <f t="shared" si="17"/>
        <v>3.3495565987401114E-3</v>
      </c>
      <c r="P120" s="73">
        <v>4621073</v>
      </c>
    </row>
    <row r="121" spans="1:16">
      <c r="A121" t="s">
        <v>102</v>
      </c>
      <c r="C121" s="242">
        <f t="shared" si="11"/>
        <v>8.4503093891841619E-3</v>
      </c>
      <c r="D121" s="241">
        <v>23725662.017512139</v>
      </c>
      <c r="E121" s="242">
        <f t="shared" si="12"/>
        <v>5.203776487438542E-3</v>
      </c>
      <c r="F121" s="241">
        <v>13156190</v>
      </c>
      <c r="G121" s="242">
        <f t="shared" si="13"/>
        <v>9.0979765470290703E-3</v>
      </c>
      <c r="H121" s="241">
        <v>23311737</v>
      </c>
      <c r="I121" s="242">
        <f t="shared" si="14"/>
        <v>6.8489628814556022E-3</v>
      </c>
      <c r="J121" s="241">
        <v>13347266</v>
      </c>
      <c r="K121" s="242">
        <f t="shared" si="15"/>
        <v>8.4503093891841619E-3</v>
      </c>
      <c r="L121" s="241">
        <v>16469281</v>
      </c>
      <c r="M121" s="242">
        <f t="shared" si="16"/>
        <v>5.8492972262193929E-3</v>
      </c>
      <c r="N121" s="241">
        <v>11397805</v>
      </c>
      <c r="O121" s="242">
        <f t="shared" si="17"/>
        <v>3.6120638928533884E-3</v>
      </c>
      <c r="P121" s="241">
        <v>4983230</v>
      </c>
    </row>
    <row r="122" spans="1:16">
      <c r="A122" t="s">
        <v>103</v>
      </c>
      <c r="C122" s="242">
        <f t="shared" si="11"/>
        <v>3.827890332179991E-3</v>
      </c>
      <c r="D122" s="241">
        <v>10747444.629382133</v>
      </c>
      <c r="E122" s="242">
        <f t="shared" si="12"/>
        <v>1.0207754734117423E-3</v>
      </c>
      <c r="F122" s="241">
        <v>2580725</v>
      </c>
      <c r="G122" s="242">
        <f t="shared" si="13"/>
        <v>2.1633532276242036E-3</v>
      </c>
      <c r="H122" s="241">
        <v>5543158</v>
      </c>
      <c r="I122" s="242">
        <f t="shared" si="14"/>
        <v>2.4045861527202529E-3</v>
      </c>
      <c r="J122" s="241">
        <v>4686060</v>
      </c>
      <c r="K122" s="242">
        <f t="shared" si="15"/>
        <v>6.0597161420338662E-3</v>
      </c>
      <c r="L122" s="241">
        <v>11810120</v>
      </c>
      <c r="M122" s="242">
        <f t="shared" si="16"/>
        <v>5.811696963723815E-3</v>
      </c>
      <c r="N122" s="241">
        <v>11324538</v>
      </c>
      <c r="O122" s="242">
        <f t="shared" si="17"/>
        <v>7.8239651108737655E-3</v>
      </c>
      <c r="P122" s="241">
        <v>10794000</v>
      </c>
    </row>
    <row r="123" spans="1:16">
      <c r="A123" s="8" t="s">
        <v>104</v>
      </c>
      <c r="C123" s="135">
        <f t="shared" si="11"/>
        <v>0.8793550701461923</v>
      </c>
      <c r="D123" s="46">
        <v>2468936961.5718284</v>
      </c>
      <c r="E123" s="135">
        <f t="shared" si="12"/>
        <v>0.85874888260787929</v>
      </c>
      <c r="F123" s="46">
        <v>2171089302</v>
      </c>
      <c r="G123" s="135">
        <f t="shared" si="13"/>
        <v>0.87056672592101658</v>
      </c>
      <c r="H123" s="46">
        <v>2230652327</v>
      </c>
      <c r="I123" s="135">
        <f t="shared" si="14"/>
        <v>0.85654070170596719</v>
      </c>
      <c r="J123" s="46">
        <v>1669227412</v>
      </c>
      <c r="K123" s="135">
        <f t="shared" si="15"/>
        <v>0.88158689595604611</v>
      </c>
      <c r="L123" s="46">
        <v>1718174051</v>
      </c>
      <c r="M123" s="135">
        <f t="shared" si="16"/>
        <v>0.90330151581778384</v>
      </c>
      <c r="N123" s="46">
        <v>1760152397</v>
      </c>
      <c r="O123" s="135">
        <f t="shared" si="17"/>
        <v>0.90538569886846043</v>
      </c>
      <c r="P123" s="46">
        <v>1249076791</v>
      </c>
    </row>
    <row r="124" spans="1:16">
      <c r="A124" t="s">
        <v>105</v>
      </c>
      <c r="C124" s="242">
        <f t="shared" si="11"/>
        <v>7.2580247442369768E-3</v>
      </c>
      <c r="D124" s="4">
        <v>20378122.748607639</v>
      </c>
      <c r="E124" s="242">
        <f t="shared" si="12"/>
        <v>1.0242686299921176E-2</v>
      </c>
      <c r="F124" s="4">
        <v>25895564</v>
      </c>
      <c r="G124" s="242">
        <f t="shared" si="13"/>
        <v>8.4921838790789055E-3</v>
      </c>
      <c r="H124" s="4">
        <v>21759515</v>
      </c>
      <c r="I124" s="242">
        <f t="shared" si="14"/>
        <v>4.7421213355447293E-3</v>
      </c>
      <c r="J124" s="4">
        <v>9241451</v>
      </c>
      <c r="K124" s="242">
        <f t="shared" si="15"/>
        <v>6.2731714507714758E-3</v>
      </c>
      <c r="L124" s="4">
        <v>12226135</v>
      </c>
      <c r="M124" s="242">
        <f t="shared" si="16"/>
        <v>5.5410732992902242E-3</v>
      </c>
      <c r="N124" s="4">
        <v>10797207</v>
      </c>
      <c r="O124" s="242">
        <f t="shared" si="17"/>
        <v>8.2569122008153591E-3</v>
      </c>
      <c r="P124" s="4">
        <v>11391297</v>
      </c>
    </row>
    <row r="125" spans="1:16">
      <c r="A125" t="s">
        <v>106</v>
      </c>
      <c r="C125" s="242">
        <f t="shared" si="11"/>
        <v>3.2395790655778543E-2</v>
      </c>
      <c r="D125" s="4">
        <v>90956619.987529889</v>
      </c>
      <c r="E125" s="242">
        <f t="shared" si="12"/>
        <v>2.9718042066996096E-2</v>
      </c>
      <c r="F125" s="4">
        <v>75133167</v>
      </c>
      <c r="G125" s="242">
        <f t="shared" si="13"/>
        <v>3.011648577307556E-2</v>
      </c>
      <c r="H125" s="4">
        <v>77167444</v>
      </c>
      <c r="I125" s="242">
        <f t="shared" si="14"/>
        <v>3.6631294555722019E-2</v>
      </c>
      <c r="J125" s="4">
        <v>71387105</v>
      </c>
      <c r="K125" s="242">
        <f t="shared" si="15"/>
        <v>4.0381759715662498E-2</v>
      </c>
      <c r="L125" s="4">
        <v>78702272</v>
      </c>
      <c r="M125" s="242">
        <f t="shared" si="16"/>
        <v>3.6330866815575825E-2</v>
      </c>
      <c r="N125" s="4">
        <v>70793485</v>
      </c>
      <c r="O125" s="242">
        <f t="shared" si="17"/>
        <v>2.1196295007639272E-2</v>
      </c>
      <c r="P125" s="4">
        <v>29242565</v>
      </c>
    </row>
    <row r="126" spans="1:16">
      <c r="A126" t="s">
        <v>107</v>
      </c>
      <c r="C126" s="242">
        <f t="shared" si="11"/>
        <v>6.2174340017084953E-2</v>
      </c>
      <c r="D126" s="4">
        <v>174564895.72977093</v>
      </c>
      <c r="E126" s="242">
        <f t="shared" si="12"/>
        <v>8.2864271269118314E-2</v>
      </c>
      <c r="F126" s="4">
        <v>209497487</v>
      </c>
      <c r="G126" s="242">
        <f t="shared" si="13"/>
        <v>7.5704219692445299E-2</v>
      </c>
      <c r="H126" s="4">
        <v>193976853</v>
      </c>
      <c r="I126" s="242">
        <f t="shared" si="14"/>
        <v>8.0175457439025738E-2</v>
      </c>
      <c r="J126" s="4">
        <v>156246015</v>
      </c>
      <c r="K126" s="242">
        <f t="shared" si="15"/>
        <v>5.3262414939984855E-2</v>
      </c>
      <c r="L126" s="4">
        <v>103806102</v>
      </c>
      <c r="M126" s="242">
        <f t="shared" si="16"/>
        <v>3.7994771447609883E-2</v>
      </c>
      <c r="N126" s="4">
        <v>74035731</v>
      </c>
      <c r="O126" s="242">
        <f t="shared" si="17"/>
        <v>4.3044905314325664E-2</v>
      </c>
      <c r="P126" s="4">
        <v>59385069</v>
      </c>
    </row>
    <row r="127" spans="1:16">
      <c r="A127" t="s">
        <v>108</v>
      </c>
      <c r="C127" s="242">
        <f t="shared" ref="C127:E130" si="18">D127/D$131</f>
        <v>2.5936562188351645E-5</v>
      </c>
      <c r="D127" s="4">
        <v>72821.251866190723</v>
      </c>
      <c r="E127" s="242">
        <f t="shared" si="18"/>
        <v>3.7332483035772467E-5</v>
      </c>
      <c r="F127" s="4">
        <v>94384</v>
      </c>
      <c r="G127" s="242">
        <f>H127/H$131</f>
        <v>1.9804479600940514E-5</v>
      </c>
      <c r="H127" s="4">
        <v>50745</v>
      </c>
      <c r="I127" s="242">
        <f>J127/J$131</f>
        <v>1.9586401678453125E-5</v>
      </c>
      <c r="J127" s="4">
        <v>38170</v>
      </c>
      <c r="K127" s="242">
        <f>L127/L$131</f>
        <v>2.3832246866686281E-5</v>
      </c>
      <c r="L127" s="4">
        <v>46448</v>
      </c>
      <c r="M127" s="242">
        <f>N127/N$131</f>
        <v>2.4037543437432923E-5</v>
      </c>
      <c r="N127" s="4">
        <v>46839</v>
      </c>
      <c r="O127" s="242">
        <f>P127/P$131</f>
        <v>3.1026218510824592E-5</v>
      </c>
      <c r="P127" s="4">
        <v>42804</v>
      </c>
    </row>
    <row r="128" spans="1:16">
      <c r="A128" t="s">
        <v>109</v>
      </c>
      <c r="C128" s="242">
        <f t="shared" si="18"/>
        <v>4.9399447173567503E-4</v>
      </c>
      <c r="D128" s="4">
        <v>1386972.3977114195</v>
      </c>
      <c r="E128" s="242">
        <f t="shared" si="18"/>
        <v>1.3756255027689282E-3</v>
      </c>
      <c r="F128" s="4">
        <v>3477857</v>
      </c>
      <c r="G128" s="242">
        <f>H128/H$131</f>
        <v>6.4149419883862292E-4</v>
      </c>
      <c r="H128" s="4">
        <v>1643700</v>
      </c>
      <c r="I128" s="242">
        <f>J128/J$131</f>
        <v>8.4318509924113634E-4</v>
      </c>
      <c r="J128" s="4">
        <v>1643200</v>
      </c>
      <c r="K128" s="242">
        <f>L128/L$131</f>
        <v>3.1196189491356482E-5</v>
      </c>
      <c r="L128" s="4">
        <v>60800</v>
      </c>
      <c r="M128" s="242">
        <f>N128/N$131</f>
        <v>2.719933820499893E-5</v>
      </c>
      <c r="N128" s="4">
        <v>53000</v>
      </c>
      <c r="O128" s="242">
        <f>P128/P$131</f>
        <v>4.5266501869007469E-5</v>
      </c>
      <c r="P128" s="4">
        <v>62450</v>
      </c>
    </row>
    <row r="129" spans="1:16">
      <c r="A129" t="s">
        <v>110</v>
      </c>
      <c r="C129" s="242">
        <f t="shared" si="18"/>
        <v>3.5665976474847928E-4</v>
      </c>
      <c r="D129" s="4">
        <v>1001382.1558413703</v>
      </c>
      <c r="E129" s="242">
        <f t="shared" si="18"/>
        <v>3.4565297375933256E-4</v>
      </c>
      <c r="F129" s="4">
        <v>873880</v>
      </c>
      <c r="G129" s="242">
        <f>H129/H$131</f>
        <v>3.5744461083672078E-4</v>
      </c>
      <c r="H129" s="4">
        <v>915880</v>
      </c>
      <c r="I129" s="242">
        <f>J129/J$131</f>
        <v>5.0584537813480916E-4</v>
      </c>
      <c r="J129" s="4">
        <v>985792</v>
      </c>
      <c r="K129" s="242">
        <f>L129/L$131</f>
        <v>4.3705964096434817E-4</v>
      </c>
      <c r="L129" s="4">
        <v>851810</v>
      </c>
      <c r="M129" s="242">
        <f>N129/N$131</f>
        <v>4.6177291541241579E-4</v>
      </c>
      <c r="N129" s="4">
        <v>899800</v>
      </c>
      <c r="O129" s="242">
        <f>P129/P$131</f>
        <v>3.2183069383249505E-5</v>
      </c>
      <c r="P129" s="4">
        <v>44400</v>
      </c>
    </row>
    <row r="130" spans="1:16">
      <c r="A130" t="s">
        <v>111</v>
      </c>
      <c r="C130" s="242">
        <f t="shared" si="18"/>
        <v>1.7940183638034769E-2</v>
      </c>
      <c r="D130" s="4">
        <v>50370076.872322433</v>
      </c>
      <c r="E130" s="242">
        <f t="shared" si="18"/>
        <v>1.6667506796521049E-2</v>
      </c>
      <c r="F130" s="4">
        <v>42138798</v>
      </c>
      <c r="G130" s="242">
        <f>H130/H$131</f>
        <v>1.410164144510738E-2</v>
      </c>
      <c r="H130" s="4">
        <v>36132623</v>
      </c>
      <c r="I130" s="242">
        <f>J130/J$131</f>
        <v>2.0541808084685947E-2</v>
      </c>
      <c r="J130" s="4">
        <v>40031897</v>
      </c>
      <c r="K130" s="242">
        <f>L130/L$131</f>
        <v>1.8003669860212717E-2</v>
      </c>
      <c r="L130" s="4">
        <v>35088360</v>
      </c>
      <c r="M130" s="242">
        <f>N130/N$131</f>
        <v>1.6318762822685365E-2</v>
      </c>
      <c r="N130" s="4">
        <v>31798363</v>
      </c>
      <c r="O130" s="242">
        <f>P130/P$131</f>
        <v>2.2007712818996165E-2</v>
      </c>
      <c r="P130" s="4">
        <v>30362003</v>
      </c>
    </row>
    <row r="131" spans="1:16">
      <c r="A131" s="8" t="s">
        <v>197</v>
      </c>
      <c r="C131" s="58">
        <v>1</v>
      </c>
      <c r="D131" s="4">
        <v>2807667852.7154779</v>
      </c>
      <c r="E131" s="58">
        <v>1</v>
      </c>
      <c r="F131" s="4">
        <v>2528200439</v>
      </c>
      <c r="G131" s="58">
        <v>1</v>
      </c>
      <c r="H131" s="4">
        <v>2562299087</v>
      </c>
      <c r="I131" s="58">
        <v>1</v>
      </c>
      <c r="J131" s="4">
        <v>1948801042</v>
      </c>
      <c r="K131" s="58">
        <v>1</v>
      </c>
      <c r="L131" s="4">
        <v>1948955978</v>
      </c>
      <c r="M131" s="58">
        <v>1</v>
      </c>
      <c r="N131" s="4">
        <v>1948576822</v>
      </c>
      <c r="O131" s="58">
        <v>1</v>
      </c>
      <c r="P131" s="4">
        <v>1379607379</v>
      </c>
    </row>
    <row r="132" spans="1:16">
      <c r="A132" s="8" t="s">
        <v>71</v>
      </c>
    </row>
    <row r="133" spans="1:16">
      <c r="A133" s="8" t="s">
        <v>198</v>
      </c>
    </row>
    <row r="135" spans="1:16">
      <c r="A135" t="s">
        <v>199</v>
      </c>
      <c r="C135" s="141">
        <f>AVERAGE(E135,G135,I135,K135,M135,O135)</f>
        <v>0.7568977931849088</v>
      </c>
      <c r="D135" s="5">
        <f>D$141*C135</f>
        <v>253615058.31577641</v>
      </c>
      <c r="E135" s="3">
        <f>F135/F$141</f>
        <v>0.8108198771553834</v>
      </c>
      <c r="F135" s="5">
        <v>460196912</v>
      </c>
      <c r="G135" s="3">
        <f>H135/H$141</f>
        <v>0.75274418166372892</v>
      </c>
      <c r="H135" s="5">
        <v>353949375</v>
      </c>
      <c r="I135" s="3">
        <f>J135/J$141</f>
        <v>0.72727993747577513</v>
      </c>
      <c r="J135" s="5">
        <v>196757107</v>
      </c>
      <c r="K135" s="3">
        <f>L135/L$141</f>
        <v>0.75390991393864415</v>
      </c>
      <c r="L135" s="5">
        <v>98637738</v>
      </c>
      <c r="M135" s="3">
        <f>N135/N$141</f>
        <v>0.76796746386775472</v>
      </c>
      <c r="N135" s="5">
        <v>108385506</v>
      </c>
      <c r="O135" s="3">
        <f>P135/P$141</f>
        <v>0.72866538500816724</v>
      </c>
      <c r="P135" s="5">
        <v>114247880</v>
      </c>
    </row>
    <row r="136" spans="1:16">
      <c r="A136" t="s">
        <v>200</v>
      </c>
      <c r="C136" s="141">
        <f t="shared" ref="C136:C140" si="19">AVERAGE(E136,G136,I136,K136,M136,O136)</f>
        <v>0.13858755374198281</v>
      </c>
      <c r="D136" s="5">
        <f t="shared" ref="D136:D140" si="20">D$141*C136</f>
        <v>46436772.362906329</v>
      </c>
      <c r="E136" s="3">
        <f t="shared" ref="E136:G140" si="21">F136/F$141</f>
        <v>0.1029636449413552</v>
      </c>
      <c r="F136" s="5">
        <v>58439060</v>
      </c>
      <c r="G136" s="3">
        <f t="shared" si="21"/>
        <v>0.15520072490190207</v>
      </c>
      <c r="H136" s="5">
        <v>72977249</v>
      </c>
      <c r="I136" s="3">
        <f t="shared" ref="I136" si="22">J136/J$141</f>
        <v>0.18767481163667968</v>
      </c>
      <c r="J136" s="5">
        <v>50773232</v>
      </c>
      <c r="K136" s="3">
        <f t="shared" ref="K136" si="23">L136/L$141</f>
        <v>0.12810001257080364</v>
      </c>
      <c r="L136" s="5">
        <v>16759954</v>
      </c>
      <c r="M136" s="3">
        <f t="shared" ref="M136" si="24">N136/N$141</f>
        <v>0.10928376465479994</v>
      </c>
      <c r="N136" s="5">
        <v>15423539</v>
      </c>
      <c r="O136" s="3">
        <f t="shared" ref="O136" si="25">P136/P$141</f>
        <v>0.14830236374635633</v>
      </c>
      <c r="P136" s="5">
        <v>23252416</v>
      </c>
    </row>
    <row r="137" spans="1:16">
      <c r="A137" t="s">
        <v>81</v>
      </c>
      <c r="C137" s="141">
        <f t="shared" si="19"/>
        <v>5.1699310553173498E-2</v>
      </c>
      <c r="D137" s="5">
        <f t="shared" si="20"/>
        <v>17322977.790246192</v>
      </c>
      <c r="E137" s="3">
        <f t="shared" si="21"/>
        <v>5.3386492018440479E-2</v>
      </c>
      <c r="F137" s="5">
        <v>30300563</v>
      </c>
      <c r="G137" s="3">
        <f t="shared" si="21"/>
        <v>6.2022421174215921E-2</v>
      </c>
      <c r="H137" s="5">
        <v>29163689</v>
      </c>
      <c r="I137" s="3">
        <f t="shared" ref="I137" si="26">J137/J$141</f>
        <v>4.2695227596946148E-2</v>
      </c>
      <c r="J137" s="5">
        <v>11550696</v>
      </c>
      <c r="K137" s="3">
        <f t="shared" ref="K137" si="27">L137/L$141</f>
        <v>4.3368714587672788E-2</v>
      </c>
      <c r="L137" s="5">
        <v>5674142</v>
      </c>
      <c r="M137" s="3">
        <f t="shared" ref="M137" si="28">N137/N$141</f>
        <v>5.0529224431943388E-2</v>
      </c>
      <c r="N137" s="5">
        <v>7131338</v>
      </c>
      <c r="O137" s="3">
        <f t="shared" ref="O137" si="29">P137/P$141</f>
        <v>5.8193783509822232E-2</v>
      </c>
      <c r="P137" s="5">
        <v>9124238</v>
      </c>
    </row>
    <row r="138" spans="1:16">
      <c r="A138" t="s">
        <v>84</v>
      </c>
      <c r="C138" s="141">
        <f t="shared" si="19"/>
        <v>1.0705995412670184E-2</v>
      </c>
      <c r="D138" s="5">
        <f t="shared" si="20"/>
        <v>3587276.4795463798</v>
      </c>
      <c r="E138" s="3">
        <f t="shared" si="21"/>
        <v>7.2170518502440873E-3</v>
      </c>
      <c r="F138" s="5">
        <v>4096181</v>
      </c>
      <c r="G138" s="3">
        <f t="shared" si="21"/>
        <v>9.1060705874698826E-3</v>
      </c>
      <c r="H138" s="5">
        <v>4281784</v>
      </c>
      <c r="I138" s="3">
        <f t="shared" ref="I138" si="30">J138/J$141</f>
        <v>6.9930199172509155E-3</v>
      </c>
      <c r="J138" s="5">
        <v>1891880</v>
      </c>
      <c r="K138" s="3">
        <f t="shared" ref="K138" si="31">L138/L$141</f>
        <v>9.4705225966711191E-3</v>
      </c>
      <c r="L138" s="5">
        <v>1239075</v>
      </c>
      <c r="M138" s="3">
        <f t="shared" ref="M138" si="32">N138/N$141</f>
        <v>1.8445332464554341E-2</v>
      </c>
      <c r="N138" s="5">
        <v>2603244</v>
      </c>
      <c r="O138" s="3">
        <f t="shared" ref="O138" si="33">P138/P$141</f>
        <v>1.3003975059830756E-2</v>
      </c>
      <c r="P138" s="5">
        <v>2038901</v>
      </c>
    </row>
    <row r="139" spans="1:16">
      <c r="A139" t="s">
        <v>201</v>
      </c>
      <c r="C139" s="141">
        <f t="shared" si="19"/>
        <v>2.9450279769112051E-2</v>
      </c>
      <c r="D139" s="5">
        <f t="shared" si="20"/>
        <v>9867956.3982221987</v>
      </c>
      <c r="E139" s="3">
        <f t="shared" si="21"/>
        <v>1.9355381715179035E-2</v>
      </c>
      <c r="F139" s="5">
        <v>10985531</v>
      </c>
      <c r="G139" s="3">
        <f t="shared" si="21"/>
        <v>1.381153285958947E-2</v>
      </c>
      <c r="H139" s="5">
        <v>6494349</v>
      </c>
      <c r="I139" s="3">
        <f t="shared" ref="I139" si="34">J139/J$141</f>
        <v>2.3731423797455103E-2</v>
      </c>
      <c r="J139" s="5">
        <v>6420260</v>
      </c>
      <c r="K139" s="3">
        <f t="shared" ref="K139" si="35">L139/L$141</f>
        <v>4.0289016739744381E-2</v>
      </c>
      <c r="L139" s="5">
        <v>5271210</v>
      </c>
      <c r="M139" s="3">
        <f t="shared" ref="M139" si="36">N139/N$141</f>
        <v>4.0163557848366227E-2</v>
      </c>
      <c r="N139" s="5">
        <v>5668401</v>
      </c>
      <c r="O139" s="3">
        <f t="shared" ref="O139" si="37">P139/P$141</f>
        <v>3.9350765654338093E-2</v>
      </c>
      <c r="P139" s="5">
        <v>6169830</v>
      </c>
    </row>
    <row r="140" spans="1:16">
      <c r="A140" t="s">
        <v>202</v>
      </c>
      <c r="C140" s="141">
        <f t="shared" si="19"/>
        <v>1.2659067338152538E-2</v>
      </c>
      <c r="D140" s="5">
        <f t="shared" si="20"/>
        <v>4241695.6821600478</v>
      </c>
      <c r="E140" s="3">
        <f t="shared" si="21"/>
        <v>6.2575523193978003E-3</v>
      </c>
      <c r="F140" s="5">
        <v>3551598</v>
      </c>
      <c r="G140" s="3">
        <f t="shared" si="21"/>
        <v>7.1150688130937828E-3</v>
      </c>
      <c r="H140" s="5">
        <v>3345591</v>
      </c>
      <c r="I140" s="3">
        <f t="shared" ref="I140" si="38">J140/J$141</f>
        <v>1.1625579575893014E-2</v>
      </c>
      <c r="J140" s="5">
        <v>3145165</v>
      </c>
      <c r="K140" s="3">
        <f t="shared" ref="K140" si="39">L140/L$141</f>
        <v>2.4861819566463883E-2</v>
      </c>
      <c r="L140" s="5">
        <v>3252794</v>
      </c>
      <c r="M140" s="3">
        <f t="shared" ref="M140" si="40">N140/N$141</f>
        <v>1.3610656732581352E-2</v>
      </c>
      <c r="N140" s="5">
        <v>1920912</v>
      </c>
      <c r="O140" s="3">
        <f t="shared" ref="O140" si="41">P140/P$141</f>
        <v>1.2483727021485395E-2</v>
      </c>
      <c r="P140" s="5">
        <v>1957331</v>
      </c>
    </row>
    <row r="141" spans="1:16" s="8" customFormat="1">
      <c r="A141" s="8" t="s">
        <v>147</v>
      </c>
      <c r="D141" s="154">
        <f>D4</f>
        <v>335071737.02885759</v>
      </c>
      <c r="F141" s="46">
        <v>567569845</v>
      </c>
      <c r="G141" s="46"/>
      <c r="H141" s="46">
        <v>470212037</v>
      </c>
      <c r="J141" s="46">
        <v>270538340</v>
      </c>
      <c r="K141" s="46"/>
      <c r="L141" s="46">
        <v>130834913</v>
      </c>
      <c r="N141" s="46">
        <v>141132940</v>
      </c>
      <c r="O141" s="46"/>
      <c r="P141" s="46">
        <v>156790596</v>
      </c>
    </row>
    <row r="143" spans="1:16">
      <c r="A143" t="s">
        <v>203</v>
      </c>
      <c r="D143" s="63">
        <v>116488513</v>
      </c>
      <c r="F143" s="63">
        <v>110200053</v>
      </c>
      <c r="H143" s="63">
        <v>83178200</v>
      </c>
      <c r="J143" s="63">
        <f>90872737-J147</f>
        <v>71051179</v>
      </c>
      <c r="L143" s="63">
        <f>86550780-L147</f>
        <v>69694924</v>
      </c>
      <c r="N143" s="63">
        <f>78540821-N147</f>
        <v>62565157</v>
      </c>
      <c r="P143" s="63">
        <v>61656827</v>
      </c>
    </row>
    <row r="144" spans="1:16">
      <c r="A144" t="s">
        <v>204</v>
      </c>
      <c r="D144" s="5">
        <f>D143*D145</f>
        <v>11775228.809098188</v>
      </c>
      <c r="F144" s="63">
        <f>10957614</f>
        <v>10957614</v>
      </c>
      <c r="H144" s="63">
        <f>9678077</f>
        <v>9678077</v>
      </c>
      <c r="J144" s="63">
        <f>11760648-J148</f>
        <v>7782494</v>
      </c>
      <c r="L144" s="63">
        <f>10353966-L148</f>
        <v>6969192</v>
      </c>
      <c r="N144" s="63">
        <f>9758071-N148</f>
        <v>5962553</v>
      </c>
      <c r="P144" s="63">
        <f>8722425-P148</f>
        <v>5295777</v>
      </c>
    </row>
    <row r="145" spans="1:16">
      <c r="A145" t="s">
        <v>205</v>
      </c>
      <c r="D145" s="141">
        <f>AVERAGE(F145,H145,J145,L145,N145,P145)</f>
        <v>0.10108489245714887</v>
      </c>
      <c r="F145" s="3">
        <f>F144/F143</f>
        <v>9.9433836025469069E-2</v>
      </c>
      <c r="H145" s="3">
        <f>H144/H143</f>
        <v>0.11635352772721699</v>
      </c>
      <c r="J145" s="3">
        <f>J144/J143</f>
        <v>0.10953363631024335</v>
      </c>
      <c r="L145" s="3">
        <f>L144/L143</f>
        <v>9.9995689786533087E-2</v>
      </c>
      <c r="N145" s="3">
        <f>N144/N143</f>
        <v>9.530149504779474E-2</v>
      </c>
      <c r="P145" s="3">
        <f>P144/P143</f>
        <v>8.5891169845636078E-2</v>
      </c>
    </row>
    <row r="147" spans="1:16">
      <c r="A147" t="s">
        <v>206</v>
      </c>
      <c r="D147" s="63">
        <f>SOFP!F10</f>
        <v>27408020</v>
      </c>
      <c r="F147" s="63">
        <v>24654745</v>
      </c>
      <c r="H147" s="63">
        <v>22818230</v>
      </c>
      <c r="J147" s="63">
        <v>19821558</v>
      </c>
      <c r="L147" s="63">
        <v>16855856</v>
      </c>
      <c r="N147" s="63">
        <v>15975664</v>
      </c>
      <c r="P147" s="63">
        <v>17810109</v>
      </c>
    </row>
    <row r="148" spans="1:16">
      <c r="A148" t="s">
        <v>207</v>
      </c>
      <c r="D148" s="5">
        <f>D147*D149</f>
        <v>5522854.5719766272</v>
      </c>
      <c r="F148" s="63">
        <v>4525300</v>
      </c>
      <c r="H148" s="63">
        <v>4426688</v>
      </c>
      <c r="J148" s="63">
        <v>3978154</v>
      </c>
      <c r="L148" s="63">
        <v>3384774</v>
      </c>
      <c r="N148" s="63">
        <v>3795518</v>
      </c>
      <c r="P148" s="63">
        <v>3426648</v>
      </c>
    </row>
    <row r="149" spans="1:16">
      <c r="A149" t="s">
        <v>205</v>
      </c>
      <c r="D149" s="141">
        <f>AVERAGE(F149,H149,J149,L149,N149,P149)</f>
        <v>0.20150505479697647</v>
      </c>
      <c r="F149" s="3">
        <f>F148/F147</f>
        <v>0.18354681826966776</v>
      </c>
      <c r="H149" s="3">
        <f>H148/H147</f>
        <v>0.1939978692475271</v>
      </c>
      <c r="J149" s="3">
        <f>J148/J147</f>
        <v>0.20069835075527362</v>
      </c>
      <c r="L149" s="3">
        <f>L148/L147</f>
        <v>0.20080700736883372</v>
      </c>
      <c r="N149" s="3">
        <f>N148/N147</f>
        <v>0.23758123606004733</v>
      </c>
      <c r="P149" s="3">
        <f>P148/P147</f>
        <v>0.19239904708050917</v>
      </c>
    </row>
    <row r="150" spans="1:16">
      <c r="A150" t="s">
        <v>208</v>
      </c>
      <c r="D150" s="5">
        <f>D151*D147</f>
        <v>-7093427.6601672135</v>
      </c>
      <c r="F150" s="5">
        <f>CF!M70</f>
        <v>-5759500</v>
      </c>
      <c r="H150" s="5">
        <f>CF!O70</f>
        <v>-5683153</v>
      </c>
      <c r="J150" s="5">
        <f>CF!Q70</f>
        <v>-4939145</v>
      </c>
      <c r="L150" s="5">
        <f>CF!S70</f>
        <v>-5113819</v>
      </c>
      <c r="N150" s="3"/>
      <c r="P150" s="3"/>
    </row>
    <row r="151" spans="1:16">
      <c r="A151" t="s">
        <v>209</v>
      </c>
      <c r="D151" s="141">
        <f>AVERAGE(F151,H151,J151,L151)</f>
        <v>-0.25880846774656519</v>
      </c>
      <c r="F151" s="72">
        <f>F150/F147</f>
        <v>-0.23360614761985979</v>
      </c>
      <c r="H151" s="72">
        <f>H150/H147</f>
        <v>-0.24906195616399696</v>
      </c>
      <c r="J151" s="72">
        <f>J150/J147</f>
        <v>-0.24918046300901273</v>
      </c>
      <c r="L151" s="72">
        <f>L150/L147</f>
        <v>-0.30338530419339133</v>
      </c>
      <c r="N151" s="3"/>
      <c r="P151" s="3"/>
    </row>
    <row r="153" spans="1:16">
      <c r="A153" t="s">
        <v>210</v>
      </c>
      <c r="D153" s="63">
        <v>14396426</v>
      </c>
      <c r="F153" s="63">
        <v>16087916</v>
      </c>
      <c r="H153" s="63">
        <v>13212796</v>
      </c>
      <c r="J153" s="63">
        <v>10574403</v>
      </c>
      <c r="L153" s="63">
        <v>8792341</v>
      </c>
      <c r="N153" s="63">
        <v>8014801</v>
      </c>
      <c r="P153" s="63">
        <v>7033470</v>
      </c>
    </row>
    <row r="154" spans="1:16">
      <c r="A154" t="s">
        <v>211</v>
      </c>
      <c r="D154" s="5">
        <f>D153*D155</f>
        <v>1948774.3429678162</v>
      </c>
      <c r="F154" s="63">
        <v>2738087</v>
      </c>
      <c r="H154" s="63">
        <v>2246980</v>
      </c>
      <c r="J154" s="63">
        <v>1852350</v>
      </c>
      <c r="L154" s="63">
        <v>1061035</v>
      </c>
      <c r="N154" s="63">
        <v>799329</v>
      </c>
      <c r="P154" s="63">
        <v>537026</v>
      </c>
    </row>
    <row r="155" spans="1:16">
      <c r="A155" t="s">
        <v>212</v>
      </c>
      <c r="D155" s="141">
        <f>AVERAGE(F155,H155,J155,L155,N155,P155)</f>
        <v>0.13536514847280959</v>
      </c>
      <c r="F155" s="3">
        <f>F154/F153</f>
        <v>0.1701952571109894</v>
      </c>
      <c r="H155" s="3">
        <f>H154/H153</f>
        <v>0.17006090156844925</v>
      </c>
      <c r="J155" s="3">
        <f>J154/J153</f>
        <v>0.1751730097670762</v>
      </c>
      <c r="L155" s="3">
        <f>L154/L153</f>
        <v>0.12067718938562551</v>
      </c>
      <c r="N155" s="3">
        <f>N154/N153</f>
        <v>9.9731609056793805E-2</v>
      </c>
      <c r="P155" s="3">
        <f>P154/P153</f>
        <v>7.6352923947923285E-2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C9A2-217C-4AB5-B762-BE53C9570E0A}">
  <dimension ref="A1:S336"/>
  <sheetViews>
    <sheetView showGridLines="0" zoomScale="90" zoomScaleNormal="90" workbookViewId="0">
      <pane xSplit="9" ySplit="2" topLeftCell="J3" activePane="bottomRight" state="frozen"/>
      <selection pane="bottomRight" activeCell="K57" sqref="K57"/>
      <selection pane="bottomLeft" activeCell="R20" sqref="R20"/>
      <selection pane="topRight" activeCell="R20" sqref="R20"/>
    </sheetView>
  </sheetViews>
  <sheetFormatPr defaultRowHeight="14.45"/>
  <cols>
    <col min="1" max="1" width="96" bestFit="1" customWidth="1"/>
    <col min="2" max="2" width="12.28515625" hidden="1" customWidth="1"/>
    <col min="3" max="3" width="12.28515625" style="88" hidden="1" customWidth="1"/>
    <col min="4" max="4" width="9.42578125" hidden="1" customWidth="1"/>
    <col min="5" max="5" width="13.28515625" style="88" hidden="1" customWidth="1"/>
    <col min="6" max="6" width="13.28515625" hidden="1" customWidth="1"/>
    <col min="7" max="7" width="13" style="88" hidden="1" customWidth="1"/>
    <col min="8" max="8" width="5.140625" style="88" hidden="1" customWidth="1"/>
    <col min="9" max="9" width="13" style="88" hidden="1" customWidth="1"/>
    <col min="10" max="10" width="4.7109375" customWidth="1"/>
    <col min="11" max="11" width="15.28515625" style="88" customWidth="1"/>
    <col min="12" max="12" width="8.7109375" bestFit="1" customWidth="1"/>
    <col min="13" max="13" width="15.28515625" style="88" customWidth="1"/>
    <col min="14" max="14" width="9.28515625" bestFit="1" customWidth="1"/>
    <col min="15" max="15" width="16.140625" style="5" bestFit="1" customWidth="1"/>
    <col min="16" max="16" width="9.28515625" bestFit="1" customWidth="1"/>
    <col min="17" max="17" width="15.5703125" style="88" customWidth="1"/>
    <col min="18" max="18" width="8.7109375" bestFit="1" customWidth="1"/>
    <col min="19" max="19" width="15.140625" style="88" customWidth="1"/>
  </cols>
  <sheetData>
    <row r="1" spans="1:19">
      <c r="A1" s="33" t="s">
        <v>0</v>
      </c>
      <c r="E1"/>
      <c r="K1" s="37" t="s">
        <v>1</v>
      </c>
      <c r="L1" s="87"/>
      <c r="M1" s="35" t="s">
        <v>1</v>
      </c>
      <c r="N1" s="87"/>
      <c r="O1" s="35" t="s">
        <v>1</v>
      </c>
      <c r="Q1" s="35" t="s">
        <v>1</v>
      </c>
      <c r="S1" s="35" t="s">
        <v>1</v>
      </c>
    </row>
    <row r="2" spans="1:19">
      <c r="A2" s="33" t="s">
        <v>213</v>
      </c>
      <c r="K2" s="37" t="s">
        <v>3</v>
      </c>
      <c r="L2" s="87"/>
      <c r="M2" s="35">
        <v>24</v>
      </c>
      <c r="N2" s="87"/>
      <c r="O2" s="35">
        <v>23</v>
      </c>
      <c r="Q2" s="35">
        <v>22</v>
      </c>
      <c r="S2" s="35">
        <v>21</v>
      </c>
    </row>
    <row r="3" spans="1:19">
      <c r="A3" s="33" t="s">
        <v>166</v>
      </c>
      <c r="K3" s="92">
        <f>'P&amp;L'!D26</f>
        <v>108441567.30554156</v>
      </c>
      <c r="L3" s="89"/>
      <c r="M3" s="92">
        <v>120334380</v>
      </c>
      <c r="N3" s="89"/>
      <c r="O3" s="92">
        <v>113550996</v>
      </c>
      <c r="P3" s="8"/>
      <c r="Q3" s="92">
        <v>77029938</v>
      </c>
      <c r="R3" s="8"/>
      <c r="S3" s="92">
        <v>62027911</v>
      </c>
    </row>
    <row r="4" spans="1:19">
      <c r="A4" s="27" t="s">
        <v>151</v>
      </c>
      <c r="K4" s="74">
        <f>-'P&amp;L'!D9</f>
        <v>-4449656.5127956234</v>
      </c>
      <c r="L4" s="88"/>
      <c r="M4" s="74">
        <v>-3082420</v>
      </c>
      <c r="N4" s="88"/>
      <c r="O4" s="74">
        <v>-2300969</v>
      </c>
      <c r="Q4" s="74">
        <v>-1508643</v>
      </c>
      <c r="S4" s="74">
        <v>-913769</v>
      </c>
    </row>
    <row r="5" spans="1:19">
      <c r="A5" s="28" t="s">
        <v>152</v>
      </c>
      <c r="C5" s="35" t="s">
        <v>214</v>
      </c>
      <c r="D5" s="87"/>
      <c r="E5" s="35" t="s">
        <v>214</v>
      </c>
      <c r="F5" s="87"/>
      <c r="G5" s="35" t="s">
        <v>214</v>
      </c>
      <c r="H5" s="42"/>
      <c r="I5" s="35" t="s">
        <v>214</v>
      </c>
      <c r="J5" s="87"/>
      <c r="K5" s="75">
        <f>-'P&amp;L'!D10</f>
        <v>-5174323.5194516443</v>
      </c>
      <c r="L5" s="88"/>
      <c r="M5" s="75">
        <v>-4763000</v>
      </c>
      <c r="N5" s="88"/>
      <c r="O5" s="75">
        <v>-4422695</v>
      </c>
      <c r="Q5" s="75">
        <v>-3028453</v>
      </c>
      <c r="S5" s="75">
        <v>-2585595</v>
      </c>
    </row>
    <row r="6" spans="1:19">
      <c r="A6" s="43" t="s">
        <v>215</v>
      </c>
      <c r="C6" s="35">
        <v>24</v>
      </c>
      <c r="D6" s="87"/>
      <c r="E6" s="35">
        <v>23</v>
      </c>
      <c r="F6" s="87"/>
      <c r="G6" s="35">
        <v>22</v>
      </c>
      <c r="H6" s="42"/>
      <c r="I6" s="35">
        <v>21</v>
      </c>
      <c r="J6" s="87"/>
      <c r="K6" s="76">
        <f>'P&amp;L'!D138</f>
        <v>3587276.4795463798</v>
      </c>
      <c r="L6" s="88"/>
      <c r="M6" s="76">
        <v>4096181</v>
      </c>
      <c r="N6" s="88"/>
      <c r="O6" s="76">
        <v>4281784</v>
      </c>
      <c r="Q6" s="76">
        <v>1891880</v>
      </c>
      <c r="S6" s="76">
        <v>1239075</v>
      </c>
    </row>
    <row r="7" spans="1:19" s="8" customFormat="1">
      <c r="A7" s="29"/>
      <c r="C7" s="92">
        <v>432003</v>
      </c>
      <c r="D7" s="89"/>
      <c r="E7" s="92">
        <v>407650</v>
      </c>
      <c r="F7" s="89"/>
      <c r="G7" s="92"/>
      <c r="H7" s="91"/>
      <c r="I7" s="92"/>
      <c r="J7" s="89"/>
      <c r="K7" s="73">
        <f>SUM(K4:K6)</f>
        <v>-6036703.5527008884</v>
      </c>
      <c r="L7" s="89"/>
      <c r="M7" s="73">
        <v>-3749239</v>
      </c>
      <c r="N7" s="89"/>
      <c r="O7" s="78">
        <v>-2441880</v>
      </c>
      <c r="Q7" s="73">
        <v>-2645216</v>
      </c>
      <c r="S7" s="73">
        <v>-2260289</v>
      </c>
    </row>
    <row r="8" spans="1:19">
      <c r="A8" s="38"/>
      <c r="C8" s="74">
        <v>-11066</v>
      </c>
      <c r="D8" s="88"/>
      <c r="E8" s="74">
        <v>-8261</v>
      </c>
      <c r="F8" s="88"/>
      <c r="G8" s="74"/>
      <c r="H8" s="90"/>
      <c r="I8" s="74"/>
      <c r="J8" s="88"/>
      <c r="K8" s="73">
        <f>K3-K7</f>
        <v>114478270.85824245</v>
      </c>
      <c r="L8" s="89"/>
      <c r="M8" s="73">
        <v>116585141</v>
      </c>
      <c r="N8" s="89"/>
      <c r="O8" s="73">
        <v>111109116</v>
      </c>
      <c r="P8" s="8"/>
      <c r="Q8" s="73">
        <v>74384722</v>
      </c>
      <c r="R8" s="8"/>
      <c r="S8" s="73">
        <v>59767622</v>
      </c>
    </row>
    <row r="9" spans="1:19">
      <c r="A9" s="8"/>
      <c r="C9" s="75">
        <v>-17099</v>
      </c>
      <c r="D9" s="88"/>
      <c r="E9" s="75">
        <v>-15878</v>
      </c>
      <c r="F9" s="88"/>
      <c r="G9" s="75"/>
      <c r="H9" s="90"/>
      <c r="I9" s="75"/>
      <c r="J9" s="88"/>
      <c r="K9" s="46"/>
      <c r="L9" s="89"/>
      <c r="M9" s="46"/>
      <c r="N9" s="89"/>
      <c r="O9" s="79"/>
      <c r="P9" s="8"/>
      <c r="Q9" s="46"/>
      <c r="R9" s="8"/>
      <c r="S9" s="46"/>
    </row>
    <row r="10" spans="1:19">
      <c r="A10" s="33" t="s">
        <v>216</v>
      </c>
      <c r="C10" s="76">
        <v>14705</v>
      </c>
      <c r="D10" s="88"/>
      <c r="E10" s="76">
        <v>15372</v>
      </c>
      <c r="F10" s="88"/>
      <c r="G10" s="76"/>
      <c r="H10" s="90"/>
      <c r="I10" s="76"/>
      <c r="J10" s="88"/>
      <c r="K10" s="5"/>
      <c r="L10" s="88"/>
      <c r="M10" s="5"/>
      <c r="N10" s="88"/>
      <c r="Q10" s="5"/>
      <c r="S10" s="5"/>
    </row>
    <row r="11" spans="1:19" s="8" customFormat="1">
      <c r="A11" s="27" t="s">
        <v>217</v>
      </c>
      <c r="C11" s="78">
        <v>-13460</v>
      </c>
      <c r="D11" s="89"/>
      <c r="E11" s="78">
        <v>-8767</v>
      </c>
      <c r="F11" s="89"/>
      <c r="G11" s="73"/>
      <c r="H11" s="91"/>
      <c r="I11" s="73"/>
      <c r="J11" s="89"/>
      <c r="K11" s="74">
        <f>'P&amp;L'!D144</f>
        <v>11775228.809098188</v>
      </c>
      <c r="L11" s="88"/>
      <c r="M11" s="74">
        <v>10957614</v>
      </c>
      <c r="N11" s="88"/>
      <c r="O11" s="74">
        <v>9680335</v>
      </c>
      <c r="P11"/>
      <c r="Q11" s="74">
        <v>7782494</v>
      </c>
      <c r="R11"/>
      <c r="S11" s="74">
        <v>6969192</v>
      </c>
    </row>
    <row r="12" spans="1:19" s="8" customFormat="1">
      <c r="A12" s="28" t="s">
        <v>218</v>
      </c>
      <c r="C12" s="73">
        <v>418543</v>
      </c>
      <c r="D12" s="89"/>
      <c r="E12" s="73">
        <v>398883</v>
      </c>
      <c r="F12" s="89"/>
      <c r="G12" s="73"/>
      <c r="H12" s="91"/>
      <c r="I12" s="73"/>
      <c r="J12" s="89"/>
      <c r="K12" s="75">
        <f>'P&amp;L'!D154</f>
        <v>1948774.3429678162</v>
      </c>
      <c r="L12" s="88"/>
      <c r="M12" s="75">
        <v>2738087</v>
      </c>
      <c r="N12" s="88"/>
      <c r="O12" s="75">
        <v>2246980</v>
      </c>
      <c r="P12"/>
      <c r="Q12" s="75">
        <v>1852350</v>
      </c>
      <c r="R12"/>
      <c r="S12" s="75">
        <v>1061035</v>
      </c>
    </row>
    <row r="13" spans="1:19" s="8" customFormat="1">
      <c r="A13" s="28" t="s">
        <v>219</v>
      </c>
      <c r="C13" s="79"/>
      <c r="D13" s="89"/>
      <c r="E13" s="79"/>
      <c r="F13" s="89"/>
      <c r="G13" s="46"/>
      <c r="H13" s="89"/>
      <c r="I13" s="46"/>
      <c r="J13" s="89"/>
      <c r="K13" s="75">
        <f>'P&amp;L'!D148</f>
        <v>5522854.5719766272</v>
      </c>
      <c r="L13" s="88"/>
      <c r="M13" s="75">
        <v>4525300</v>
      </c>
      <c r="N13" s="88"/>
      <c r="O13" s="75">
        <v>4426688</v>
      </c>
      <c r="P13"/>
      <c r="Q13" s="75">
        <v>3978154</v>
      </c>
      <c r="R13"/>
      <c r="S13" s="75">
        <v>3384774</v>
      </c>
    </row>
    <row r="14" spans="1:19">
      <c r="A14" s="28" t="s">
        <v>220</v>
      </c>
      <c r="C14" s="5"/>
      <c r="D14" s="88"/>
      <c r="E14" s="5"/>
      <c r="F14" s="88"/>
      <c r="G14" s="5"/>
      <c r="I14" s="5"/>
      <c r="J14" s="88"/>
      <c r="K14" s="75">
        <v>0</v>
      </c>
      <c r="L14" s="88"/>
      <c r="M14" s="75"/>
      <c r="N14" s="88"/>
      <c r="O14" s="75"/>
      <c r="Q14" s="75">
        <v>3851708</v>
      </c>
      <c r="S14" s="75">
        <v>-1258723</v>
      </c>
    </row>
    <row r="15" spans="1:19">
      <c r="A15" s="28" t="s">
        <v>221</v>
      </c>
      <c r="C15" s="74">
        <v>39338</v>
      </c>
      <c r="D15" s="88"/>
      <c r="E15" s="74">
        <v>34753</v>
      </c>
      <c r="F15" s="88"/>
      <c r="G15" s="74"/>
      <c r="H15" s="90"/>
      <c r="I15" s="74"/>
      <c r="J15" s="88"/>
      <c r="K15" s="75">
        <f>'National Deposits'!C94</f>
        <v>3985416.0395019152</v>
      </c>
      <c r="L15" s="88"/>
      <c r="M15" s="75">
        <v>3551598</v>
      </c>
      <c r="N15" s="88"/>
      <c r="O15" s="75">
        <v>3345591</v>
      </c>
      <c r="Q15" s="75">
        <v>3145165</v>
      </c>
      <c r="S15" s="75">
        <v>3252794</v>
      </c>
    </row>
    <row r="16" spans="1:19">
      <c r="A16" s="28" t="s">
        <v>222</v>
      </c>
      <c r="C16" s="75">
        <v>9830</v>
      </c>
      <c r="D16" s="88"/>
      <c r="E16" s="75">
        <v>8067</v>
      </c>
      <c r="F16" s="88"/>
      <c r="G16" s="75"/>
      <c r="H16" s="90"/>
      <c r="I16" s="75"/>
      <c r="J16" s="88"/>
      <c r="K16" s="75">
        <v>0</v>
      </c>
      <c r="L16" s="88"/>
      <c r="M16" s="75">
        <v>-1730634</v>
      </c>
      <c r="N16" s="88"/>
      <c r="O16" s="75">
        <v>-184104</v>
      </c>
      <c r="Q16" s="75"/>
      <c r="S16" s="75"/>
    </row>
    <row r="17" spans="1:19">
      <c r="A17" s="28" t="s">
        <v>223</v>
      </c>
      <c r="C17" s="75">
        <v>16246</v>
      </c>
      <c r="D17" s="88"/>
      <c r="E17" s="75">
        <v>15892</v>
      </c>
      <c r="F17" s="88"/>
      <c r="G17" s="75"/>
      <c r="H17" s="90"/>
      <c r="I17" s="75"/>
      <c r="J17" s="88"/>
      <c r="K17" s="75">
        <f>'Credit Loss Allowance'!D38</f>
        <v>16595894.278324855</v>
      </c>
      <c r="L17" s="88"/>
      <c r="M17" s="75">
        <v>20568188</v>
      </c>
      <c r="N17" s="88"/>
      <c r="O17" s="75">
        <v>13469201</v>
      </c>
      <c r="Q17" s="75">
        <v>5943661</v>
      </c>
      <c r="S17" s="75">
        <v>7645044</v>
      </c>
    </row>
    <row r="18" spans="1:19">
      <c r="A18" s="28" t="s">
        <v>224</v>
      </c>
      <c r="C18" s="75"/>
      <c r="D18" s="88"/>
      <c r="E18" s="75"/>
      <c r="F18" s="88"/>
      <c r="G18" s="75"/>
      <c r="H18" s="90"/>
      <c r="I18" s="75"/>
      <c r="J18" s="88"/>
      <c r="K18" s="75">
        <f>'Credit Loss Allowance'!D6</f>
        <v>-170.71612083680807</v>
      </c>
      <c r="L18" s="88"/>
      <c r="M18" s="75">
        <v>-1210</v>
      </c>
      <c r="N18" s="88"/>
      <c r="O18" s="75" t="s">
        <v>225</v>
      </c>
      <c r="Q18" s="75"/>
      <c r="S18" s="75"/>
    </row>
    <row r="19" spans="1:19">
      <c r="A19" s="28" t="s">
        <v>226</v>
      </c>
      <c r="C19" s="75">
        <v>12750</v>
      </c>
      <c r="D19" s="88"/>
      <c r="E19" s="75">
        <v>12011</v>
      </c>
      <c r="F19" s="88"/>
      <c r="G19" s="75"/>
      <c r="H19" s="90"/>
      <c r="I19" s="75"/>
      <c r="J19" s="88"/>
      <c r="K19" s="75">
        <f>'Credit Loss Allowance'!D7</f>
        <v>1219618.4417970579</v>
      </c>
      <c r="L19" s="88"/>
      <c r="M19" s="75">
        <v>2340528</v>
      </c>
      <c r="N19" s="88"/>
      <c r="O19" s="75">
        <v>1140717</v>
      </c>
      <c r="Q19" s="75">
        <v>624244</v>
      </c>
      <c r="S19" s="75">
        <v>190136</v>
      </c>
    </row>
    <row r="20" spans="1:19">
      <c r="A20" s="28" t="s">
        <v>227</v>
      </c>
      <c r="C20" s="75">
        <v>-6213</v>
      </c>
      <c r="D20" s="88"/>
      <c r="E20" s="75">
        <v>-661</v>
      </c>
      <c r="F20" s="88"/>
      <c r="G20" s="75"/>
      <c r="H20" s="90"/>
      <c r="I20" s="75"/>
      <c r="J20" s="88"/>
      <c r="K20" s="75">
        <f>'Credit Loss Allowance'!D8</f>
        <v>867247.06234660884</v>
      </c>
      <c r="L20" s="88"/>
      <c r="M20" s="75">
        <v>4606306</v>
      </c>
      <c r="N20" s="88"/>
      <c r="O20" s="75">
        <v>-93890</v>
      </c>
      <c r="Q20" s="75">
        <v>-1331585</v>
      </c>
      <c r="S20" s="75">
        <v>1540508</v>
      </c>
    </row>
    <row r="21" spans="1:19">
      <c r="A21" s="28" t="s">
        <v>228</v>
      </c>
      <c r="C21" s="75">
        <v>73840</v>
      </c>
      <c r="D21" s="88"/>
      <c r="E21" s="75">
        <v>48355</v>
      </c>
      <c r="F21" s="88"/>
      <c r="G21" s="75"/>
      <c r="H21" s="90"/>
      <c r="I21" s="75"/>
      <c r="J21" s="88"/>
      <c r="K21" s="75">
        <v>0</v>
      </c>
      <c r="L21" s="88"/>
      <c r="M21" s="75">
        <v>-1263203</v>
      </c>
      <c r="N21" s="88"/>
      <c r="O21" s="75" t="s">
        <v>225</v>
      </c>
      <c r="Q21" s="75"/>
      <c r="S21" s="75"/>
    </row>
    <row r="22" spans="1:19">
      <c r="A22" s="28" t="s">
        <v>229</v>
      </c>
      <c r="C22" s="75">
        <v>-4</v>
      </c>
      <c r="D22" s="88"/>
      <c r="E22" s="75" t="s">
        <v>225</v>
      </c>
      <c r="F22" s="88"/>
      <c r="G22" s="75"/>
      <c r="H22" s="90"/>
      <c r="I22" s="75"/>
      <c r="J22" s="88"/>
      <c r="K22" s="75">
        <v>0</v>
      </c>
      <c r="L22" s="88"/>
      <c r="M22" s="75" t="s">
        <v>225</v>
      </c>
      <c r="N22" s="88"/>
      <c r="O22" s="75">
        <v>-280323</v>
      </c>
      <c r="Q22" s="75">
        <v>84390</v>
      </c>
      <c r="S22" s="75">
        <v>-67246</v>
      </c>
    </row>
    <row r="23" spans="1:19">
      <c r="A23" s="28" t="s">
        <v>230</v>
      </c>
      <c r="C23" s="75">
        <v>8403</v>
      </c>
      <c r="D23" s="88"/>
      <c r="E23" s="75">
        <v>4095</v>
      </c>
      <c r="F23" s="88"/>
      <c r="G23" s="75"/>
      <c r="H23" s="90"/>
      <c r="I23" s="75"/>
      <c r="J23" s="88"/>
      <c r="K23" s="75">
        <v>0</v>
      </c>
      <c r="L23" s="88"/>
      <c r="M23" s="75" t="s">
        <v>225</v>
      </c>
      <c r="N23" s="88"/>
      <c r="O23" s="75">
        <v>-3731399</v>
      </c>
      <c r="Q23" s="75">
        <v>0</v>
      </c>
      <c r="S23" s="75">
        <v>0</v>
      </c>
    </row>
    <row r="24" spans="1:19">
      <c r="A24" s="28" t="s">
        <v>231</v>
      </c>
      <c r="C24" s="75">
        <v>16537</v>
      </c>
      <c r="D24" s="88"/>
      <c r="E24" s="75">
        <v>-337</v>
      </c>
      <c r="F24" s="88"/>
      <c r="G24" s="75"/>
      <c r="H24" s="90"/>
      <c r="I24" s="75"/>
      <c r="J24" s="88"/>
      <c r="K24" s="75">
        <v>0</v>
      </c>
      <c r="L24" s="88"/>
      <c r="M24" s="75">
        <v>109740</v>
      </c>
      <c r="N24" s="88"/>
      <c r="O24" s="75">
        <v>-1055507</v>
      </c>
      <c r="Q24" s="75">
        <v>-429394</v>
      </c>
      <c r="S24" s="75">
        <v>-244750</v>
      </c>
    </row>
    <row r="25" spans="1:19">
      <c r="A25" s="28" t="s">
        <v>232</v>
      </c>
      <c r="C25" s="75">
        <v>-4535</v>
      </c>
      <c r="D25" s="88"/>
      <c r="E25" s="75" t="s">
        <v>225</v>
      </c>
      <c r="F25" s="88"/>
      <c r="G25" s="75"/>
      <c r="H25" s="90"/>
      <c r="I25" s="75"/>
      <c r="J25" s="88"/>
      <c r="K25" s="75">
        <v>0</v>
      </c>
      <c r="L25" s="88"/>
      <c r="M25" s="75"/>
      <c r="N25" s="88"/>
      <c r="O25" s="75"/>
      <c r="Q25" s="75"/>
      <c r="S25" s="75">
        <v>-246489</v>
      </c>
    </row>
    <row r="26" spans="1:19">
      <c r="A26" s="28" t="s">
        <v>233</v>
      </c>
      <c r="C26" s="75" t="s">
        <v>225</v>
      </c>
      <c r="D26" s="88"/>
      <c r="E26" s="75">
        <v>-1006</v>
      </c>
      <c r="F26" s="88"/>
      <c r="G26" s="75"/>
      <c r="H26" s="90"/>
      <c r="I26" s="75"/>
      <c r="J26" s="88"/>
      <c r="K26" s="75">
        <v>0</v>
      </c>
      <c r="L26" s="88"/>
      <c r="M26" s="75"/>
      <c r="N26" s="88"/>
      <c r="O26" s="75"/>
      <c r="Q26" s="75"/>
      <c r="S26" s="75">
        <v>-1369</v>
      </c>
    </row>
    <row r="27" spans="1:19">
      <c r="A27" s="28" t="s">
        <v>234</v>
      </c>
      <c r="C27" s="75" t="s">
        <v>225</v>
      </c>
      <c r="D27" s="88"/>
      <c r="E27" s="75">
        <v>-13396</v>
      </c>
      <c r="F27" s="88"/>
      <c r="G27" s="75"/>
      <c r="H27" s="90"/>
      <c r="I27" s="75"/>
      <c r="J27" s="88"/>
      <c r="K27" s="75">
        <v>0</v>
      </c>
      <c r="L27" s="88"/>
      <c r="M27" s="75">
        <v>-156538</v>
      </c>
      <c r="N27" s="88"/>
      <c r="O27" s="75">
        <v>-48681</v>
      </c>
      <c r="Q27" s="75">
        <v>-42024</v>
      </c>
      <c r="S27" s="75">
        <v>-79639</v>
      </c>
    </row>
    <row r="28" spans="1:19">
      <c r="A28" s="28" t="s">
        <v>235</v>
      </c>
      <c r="C28" s="75">
        <v>394</v>
      </c>
      <c r="D28" s="88"/>
      <c r="E28" s="75">
        <v>-3789</v>
      </c>
      <c r="F28" s="88"/>
      <c r="G28" s="75"/>
      <c r="H28" s="90"/>
      <c r="I28" s="75"/>
      <c r="J28" s="88"/>
      <c r="K28" s="75">
        <v>0</v>
      </c>
      <c r="L28" s="88"/>
      <c r="M28" s="75">
        <v>-14254667</v>
      </c>
      <c r="N28" s="88"/>
      <c r="O28" s="75" t="s">
        <v>225</v>
      </c>
      <c r="Q28" s="75">
        <v>0</v>
      </c>
      <c r="S28" s="75">
        <v>-16000</v>
      </c>
    </row>
    <row r="29" spans="1:19">
      <c r="A29" s="43" t="s">
        <v>161</v>
      </c>
      <c r="C29" s="75"/>
      <c r="D29" s="88"/>
      <c r="E29" s="75"/>
      <c r="F29" s="88"/>
      <c r="G29" s="75"/>
      <c r="H29" s="90"/>
      <c r="I29" s="75"/>
      <c r="J29" s="88"/>
      <c r="K29" s="76">
        <f>'P&amp;L'!D20</f>
        <v>3224542.670371382</v>
      </c>
      <c r="L29" s="88"/>
      <c r="M29" s="76">
        <v>2364597</v>
      </c>
      <c r="N29" s="88"/>
      <c r="O29" s="76">
        <v>2282323</v>
      </c>
      <c r="Q29" s="76">
        <v>1498693</v>
      </c>
      <c r="S29" s="76">
        <v>1273226</v>
      </c>
    </row>
    <row r="30" spans="1:19">
      <c r="A30" s="38" t="s">
        <v>216</v>
      </c>
      <c r="C30" s="75"/>
      <c r="D30" s="88"/>
      <c r="E30" s="75"/>
      <c r="F30" s="88"/>
      <c r="G30" s="75"/>
      <c r="H30" s="90"/>
      <c r="I30" s="75"/>
      <c r="J30" s="88"/>
      <c r="K30" s="78">
        <f>SUM(K11:K29)</f>
        <v>45139405.500263609</v>
      </c>
      <c r="L30" s="89"/>
      <c r="M30" s="78">
        <v>34355706</v>
      </c>
      <c r="N30" s="89"/>
      <c r="O30" s="78">
        <v>31197931</v>
      </c>
      <c r="P30" s="8"/>
      <c r="Q30" s="78">
        <v>26957856</v>
      </c>
      <c r="R30" s="8"/>
      <c r="S30" s="78">
        <v>23402493</v>
      </c>
    </row>
    <row r="31" spans="1:19">
      <c r="A31" s="38" t="s">
        <v>236</v>
      </c>
      <c r="C31" s="75">
        <v>-562</v>
      </c>
      <c r="D31" s="88"/>
      <c r="E31" s="75">
        <v>-175</v>
      </c>
      <c r="F31" s="88"/>
      <c r="G31" s="75"/>
      <c r="H31" s="90"/>
      <c r="I31" s="75"/>
      <c r="J31" s="88"/>
      <c r="K31" s="73">
        <f>K30+K8</f>
        <v>159617676.35850605</v>
      </c>
      <c r="L31" s="89"/>
      <c r="M31" s="73">
        <v>150940847</v>
      </c>
      <c r="N31" s="89"/>
      <c r="O31" s="73">
        <v>142307047</v>
      </c>
      <c r="P31" s="8"/>
      <c r="Q31" s="73">
        <v>101342578</v>
      </c>
      <c r="R31" s="8"/>
      <c r="S31" s="73">
        <v>83170115</v>
      </c>
    </row>
    <row r="32" spans="1:19">
      <c r="A32" s="8"/>
      <c r="C32" s="75">
        <v>-51175</v>
      </c>
      <c r="D32" s="88"/>
      <c r="E32" s="75" t="s">
        <v>225</v>
      </c>
      <c r="F32" s="88"/>
      <c r="G32" s="75"/>
      <c r="H32" s="90"/>
      <c r="I32" s="75"/>
      <c r="J32" s="88"/>
      <c r="K32" s="79"/>
      <c r="L32" s="89"/>
      <c r="M32" s="79"/>
      <c r="N32" s="89"/>
      <c r="O32" s="79"/>
      <c r="P32" s="8"/>
      <c r="Q32" s="79"/>
      <c r="R32" s="8"/>
      <c r="S32" s="79"/>
    </row>
    <row r="33" spans="1:19">
      <c r="A33" s="33" t="s">
        <v>237</v>
      </c>
      <c r="C33" s="76">
        <v>8489</v>
      </c>
      <c r="D33" s="88"/>
      <c r="E33" s="76">
        <v>8194</v>
      </c>
      <c r="F33" s="88"/>
      <c r="G33" s="76"/>
      <c r="H33" s="90"/>
      <c r="I33" s="76"/>
      <c r="J33" s="88"/>
      <c r="K33" s="5"/>
      <c r="M33" s="5"/>
      <c r="Q33" s="5"/>
      <c r="S33" s="5"/>
    </row>
    <row r="34" spans="1:19" s="8" customFormat="1">
      <c r="A34" s="27" t="s">
        <v>70</v>
      </c>
      <c r="C34" s="78">
        <v>123338</v>
      </c>
      <c r="D34" s="89"/>
      <c r="E34" s="78">
        <v>112003</v>
      </c>
      <c r="F34" s="89"/>
      <c r="G34" s="78"/>
      <c r="H34" s="91"/>
      <c r="I34" s="78"/>
      <c r="J34" s="89"/>
      <c r="K34" s="74">
        <f>SOFP!F6-SOFP!D6</f>
        <v>-74515588.675259084</v>
      </c>
      <c r="L34"/>
      <c r="M34" s="74">
        <v>4296525</v>
      </c>
      <c r="N34"/>
      <c r="O34" s="74">
        <v>165995127</v>
      </c>
      <c r="P34"/>
      <c r="Q34" s="74">
        <v>-160850855</v>
      </c>
      <c r="R34"/>
      <c r="S34" s="74">
        <v>-63588239</v>
      </c>
    </row>
    <row r="35" spans="1:19" s="8" customFormat="1">
      <c r="A35" s="28" t="s">
        <v>238</v>
      </c>
      <c r="C35" s="73">
        <v>541881</v>
      </c>
      <c r="D35" s="89"/>
      <c r="E35" s="73">
        <v>510886</v>
      </c>
      <c r="F35" s="89"/>
      <c r="G35" s="73"/>
      <c r="H35" s="91"/>
      <c r="I35" s="73"/>
      <c r="J35" s="89"/>
      <c r="K35" s="75">
        <f>SOFP!F135-SOFP!D135</f>
        <v>-101113018.12218046</v>
      </c>
      <c r="L35"/>
      <c r="M35" s="75">
        <v>91405547</v>
      </c>
      <c r="N35"/>
      <c r="O35" s="75" t="s">
        <v>225</v>
      </c>
      <c r="P35"/>
      <c r="Q35" s="75">
        <v>0</v>
      </c>
      <c r="R35"/>
      <c r="S35" s="75">
        <v>0</v>
      </c>
    </row>
    <row r="36" spans="1:19" s="8" customFormat="1">
      <c r="A36" s="28" t="s">
        <v>239</v>
      </c>
      <c r="C36" s="79"/>
      <c r="D36" s="89"/>
      <c r="E36" s="79"/>
      <c r="F36" s="89"/>
      <c r="G36" s="79"/>
      <c r="H36" s="91"/>
      <c r="I36" s="79"/>
      <c r="J36" s="89"/>
      <c r="K36" s="75">
        <v>0</v>
      </c>
      <c r="L36"/>
      <c r="M36" s="75" t="s">
        <v>225</v>
      </c>
      <c r="N36"/>
      <c r="O36" s="75">
        <v>-178812226</v>
      </c>
      <c r="P36"/>
      <c r="Q36" s="75">
        <v>142875183</v>
      </c>
      <c r="R36"/>
      <c r="S36" s="75">
        <v>-72978890</v>
      </c>
    </row>
    <row r="37" spans="1:19">
      <c r="A37" s="28" t="s">
        <v>72</v>
      </c>
      <c r="C37" s="5"/>
      <c r="E37" s="5"/>
      <c r="G37" s="5"/>
      <c r="I37" s="5"/>
      <c r="K37" s="75">
        <f>SOFP!F8-SOFP!D8</f>
        <v>-354831275.35604334</v>
      </c>
      <c r="M37" s="75">
        <v>-651100311</v>
      </c>
      <c r="O37" s="75">
        <v>-92315870</v>
      </c>
      <c r="Q37" s="75">
        <v>-281394487</v>
      </c>
      <c r="S37" s="75">
        <v>-291181919</v>
      </c>
    </row>
    <row r="38" spans="1:19">
      <c r="A38" s="43" t="s">
        <v>240</v>
      </c>
      <c r="C38" s="74">
        <v>15425</v>
      </c>
      <c r="E38" s="74">
        <v>595926</v>
      </c>
      <c r="G38" s="74"/>
      <c r="H38" s="90"/>
      <c r="I38" s="74"/>
      <c r="K38" s="76">
        <f>SOFP!F13-SOFP!D13</f>
        <v>-61761086.510213792</v>
      </c>
      <c r="L38" s="3"/>
      <c r="M38" s="76">
        <v>7476467</v>
      </c>
      <c r="N38" s="3"/>
      <c r="O38" s="76">
        <v>-83795260</v>
      </c>
      <c r="P38" s="3"/>
      <c r="Q38" s="76">
        <v>-31429797</v>
      </c>
      <c r="R38" s="3"/>
      <c r="S38" s="76">
        <v>-34306119</v>
      </c>
    </row>
    <row r="39" spans="1:19">
      <c r="A39" s="38" t="s">
        <v>237</v>
      </c>
      <c r="C39" s="75">
        <v>328148</v>
      </c>
      <c r="E39" s="75" t="s">
        <v>225</v>
      </c>
      <c r="G39" s="75"/>
      <c r="H39" s="90"/>
      <c r="I39" s="75"/>
      <c r="K39" s="78">
        <f>SUM(K34:K38)</f>
        <v>-592220968.66369677</v>
      </c>
      <c r="L39" s="8"/>
      <c r="M39" s="78">
        <v>-547921772</v>
      </c>
      <c r="N39" s="8"/>
      <c r="O39" s="78">
        <v>-188928229</v>
      </c>
      <c r="P39" s="8"/>
      <c r="Q39" s="78">
        <v>-330799956</v>
      </c>
      <c r="R39" s="8"/>
      <c r="S39" s="78">
        <v>-462055167</v>
      </c>
    </row>
    <row r="40" spans="1:19">
      <c r="A40" s="8"/>
      <c r="C40" s="75" t="s">
        <v>225</v>
      </c>
      <c r="E40" s="75">
        <v>-641939</v>
      </c>
      <c r="G40" s="75"/>
      <c r="H40" s="90"/>
      <c r="I40" s="75"/>
      <c r="K40" s="79"/>
      <c r="L40" s="8"/>
      <c r="M40" s="79"/>
      <c r="N40" s="8"/>
      <c r="O40" s="79"/>
      <c r="P40" s="8"/>
      <c r="Q40" s="79"/>
      <c r="R40" s="8"/>
      <c r="S40" s="79"/>
    </row>
    <row r="41" spans="1:19">
      <c r="A41" s="33" t="s">
        <v>241</v>
      </c>
      <c r="C41" s="75">
        <v>-2337463</v>
      </c>
      <c r="E41" s="75">
        <v>-331416</v>
      </c>
      <c r="G41" s="75"/>
      <c r="H41" s="90"/>
      <c r="I41" s="75"/>
      <c r="K41" s="5"/>
      <c r="M41" s="5"/>
      <c r="Q41" s="5"/>
      <c r="S41" s="5"/>
    </row>
    <row r="42" spans="1:19">
      <c r="A42" s="27" t="s">
        <v>80</v>
      </c>
      <c r="C42" s="76">
        <v>26841</v>
      </c>
      <c r="E42" s="75">
        <v>-300827</v>
      </c>
      <c r="G42" s="76"/>
      <c r="H42" s="90"/>
      <c r="I42" s="76"/>
      <c r="K42" s="74">
        <f>SOFP!D17-SOFP!F17</f>
        <v>-13903117.312023923</v>
      </c>
      <c r="M42" s="74">
        <v>44403328</v>
      </c>
      <c r="O42" s="74">
        <v>-300754</v>
      </c>
      <c r="Q42" s="74">
        <v>7804593</v>
      </c>
      <c r="S42" s="74">
        <v>-2237215</v>
      </c>
    </row>
    <row r="43" spans="1:19" s="8" customFormat="1">
      <c r="A43" s="28" t="s">
        <v>242</v>
      </c>
      <c r="C43" s="78">
        <v>-1967049</v>
      </c>
      <c r="E43" s="73">
        <v>-678256</v>
      </c>
      <c r="G43" s="78"/>
      <c r="H43" s="91"/>
      <c r="I43" s="78"/>
      <c r="K43" s="75">
        <f>SOFP!D18-SOFP!F18</f>
        <v>49711145.981388807</v>
      </c>
      <c r="L43"/>
      <c r="M43" s="75">
        <v>168195241</v>
      </c>
      <c r="N43"/>
      <c r="O43" s="75">
        <v>81271280</v>
      </c>
      <c r="P43"/>
      <c r="Q43" s="75">
        <v>147513394</v>
      </c>
      <c r="R43"/>
      <c r="S43" s="75">
        <v>-107849821</v>
      </c>
    </row>
    <row r="44" spans="1:19" s="8" customFormat="1">
      <c r="A44" s="28" t="s">
        <v>82</v>
      </c>
      <c r="C44" s="79"/>
      <c r="E44" s="79"/>
      <c r="G44" s="79"/>
      <c r="H44" s="91"/>
      <c r="I44" s="79"/>
      <c r="K44" s="75">
        <f>SOFP!D19-SOFP!F19</f>
        <v>643321952.13478184</v>
      </c>
      <c r="L44"/>
      <c r="M44" s="75">
        <v>228018806</v>
      </c>
      <c r="N44"/>
      <c r="O44" s="75">
        <v>673009584</v>
      </c>
      <c r="P44"/>
      <c r="Q44" s="75">
        <v>87343854</v>
      </c>
      <c r="R44"/>
      <c r="S44" s="75">
        <v>551627008</v>
      </c>
    </row>
    <row r="45" spans="1:19">
      <c r="A45" s="28" t="s">
        <v>86</v>
      </c>
      <c r="C45" s="5"/>
      <c r="E45" s="5"/>
      <c r="G45" s="5"/>
      <c r="I45" s="5"/>
      <c r="K45" s="75">
        <f>SOFP!D23-SOFP!F23</f>
        <v>56367893.85558939</v>
      </c>
      <c r="L45" s="3"/>
      <c r="M45" s="75">
        <v>39478873</v>
      </c>
      <c r="N45" s="3"/>
      <c r="O45" s="76">
        <v>55522237</v>
      </c>
      <c r="P45" s="3"/>
      <c r="Q45" s="75">
        <v>67997391</v>
      </c>
      <c r="R45" s="3"/>
      <c r="S45" s="75">
        <v>16006633</v>
      </c>
    </row>
    <row r="46" spans="1:19">
      <c r="A46" s="38" t="s">
        <v>241</v>
      </c>
      <c r="C46" s="74">
        <v>159409</v>
      </c>
      <c r="E46" s="74">
        <v>-1080</v>
      </c>
      <c r="G46" s="74"/>
      <c r="H46" s="90"/>
      <c r="I46" s="74"/>
      <c r="K46" s="73">
        <f>SUM(K42:K45)</f>
        <v>735497874.65973616</v>
      </c>
      <c r="L46" s="8"/>
      <c r="M46" s="73">
        <v>480096248</v>
      </c>
      <c r="N46" s="8"/>
      <c r="O46" s="73">
        <v>809502347</v>
      </c>
      <c r="P46" s="8"/>
      <c r="Q46" s="73">
        <v>310659232</v>
      </c>
      <c r="R46" s="8"/>
      <c r="S46" s="73">
        <v>457546605</v>
      </c>
    </row>
    <row r="47" spans="1:19">
      <c r="A47" s="38" t="s">
        <v>243</v>
      </c>
      <c r="C47" s="75">
        <v>603824</v>
      </c>
      <c r="E47" s="75">
        <v>291765</v>
      </c>
      <c r="G47" s="75"/>
      <c r="H47" s="90"/>
      <c r="I47" s="75"/>
      <c r="K47" s="73">
        <f>K46+K39+K31</f>
        <v>302894582.35454547</v>
      </c>
      <c r="L47" s="8"/>
      <c r="M47" s="73">
        <v>83115323</v>
      </c>
      <c r="N47" s="8"/>
      <c r="O47" s="73">
        <v>762881165</v>
      </c>
      <c r="P47" s="8"/>
      <c r="Q47" s="73">
        <v>81201854</v>
      </c>
      <c r="R47" s="8"/>
      <c r="S47" s="73">
        <v>78661553</v>
      </c>
    </row>
    <row r="48" spans="1:19">
      <c r="C48" s="75">
        <v>818592</v>
      </c>
      <c r="E48" s="75">
        <v>2416118</v>
      </c>
      <c r="G48" s="75"/>
      <c r="H48" s="90"/>
      <c r="I48" s="75"/>
      <c r="K48" s="5"/>
      <c r="M48" s="5"/>
      <c r="Q48" s="5"/>
      <c r="S48" s="5"/>
    </row>
    <row r="49" spans="1:19">
      <c r="A49" s="27" t="s">
        <v>244</v>
      </c>
      <c r="C49" s="76">
        <v>141730</v>
      </c>
      <c r="E49" s="76">
        <v>199326</v>
      </c>
      <c r="G49" s="75"/>
      <c r="H49" s="90"/>
      <c r="I49" s="75"/>
      <c r="K49" s="84">
        <f>-'P&amp;L'!D27</f>
        <v>-58558446.344992444</v>
      </c>
      <c r="M49" s="84">
        <v>-95275207</v>
      </c>
      <c r="O49" s="84">
        <v>-51150860</v>
      </c>
      <c r="Q49" s="84">
        <v>-32102961</v>
      </c>
      <c r="S49" s="84">
        <v>-26199570</v>
      </c>
    </row>
    <row r="50" spans="1:19" s="8" customFormat="1">
      <c r="A50" s="29" t="s">
        <v>245</v>
      </c>
      <c r="C50" s="73">
        <v>1723555</v>
      </c>
      <c r="E50" s="73">
        <v>2906129</v>
      </c>
      <c r="G50" s="73"/>
      <c r="H50" s="91"/>
      <c r="I50" s="73"/>
      <c r="K50" s="73">
        <f>K47+K49</f>
        <v>244336136.00955302</v>
      </c>
      <c r="M50" s="73">
        <v>-12159884</v>
      </c>
      <c r="O50" s="73">
        <v>711730305</v>
      </c>
      <c r="Q50" s="73">
        <v>49098893</v>
      </c>
      <c r="S50" s="73">
        <v>52461983</v>
      </c>
    </row>
    <row r="51" spans="1:19" s="8" customFormat="1">
      <c r="A51"/>
      <c r="C51" s="73">
        <v>298387</v>
      </c>
      <c r="E51" s="73">
        <v>2738759</v>
      </c>
      <c r="G51" s="73"/>
      <c r="H51" s="91"/>
      <c r="I51" s="73"/>
      <c r="K51" s="88"/>
      <c r="L51"/>
      <c r="M51" s="88"/>
      <c r="N51"/>
      <c r="O51" s="5"/>
      <c r="P51"/>
      <c r="Q51" s="88"/>
      <c r="R51"/>
      <c r="S51" s="88"/>
    </row>
    <row r="52" spans="1:19">
      <c r="A52" s="33" t="s">
        <v>246</v>
      </c>
      <c r="C52" s="5"/>
      <c r="E52" s="5"/>
      <c r="G52" s="5"/>
      <c r="I52" s="5"/>
    </row>
    <row r="53" spans="1:19">
      <c r="A53" s="27" t="s">
        <v>247</v>
      </c>
      <c r="C53" s="84">
        <v>-342040</v>
      </c>
      <c r="E53" s="84">
        <v>-183633</v>
      </c>
      <c r="G53" s="84"/>
      <c r="H53" s="90"/>
      <c r="I53" s="84"/>
      <c r="K53" s="311">
        <f>SOFP!F135-SOFP!D135</f>
        <v>-101113018.12218046</v>
      </c>
      <c r="M53" s="74">
        <v>-60053423</v>
      </c>
      <c r="O53" s="74" t="s">
        <v>225</v>
      </c>
      <c r="Q53" s="74"/>
      <c r="S53" s="74"/>
    </row>
    <row r="54" spans="1:19" s="8" customFormat="1">
      <c r="A54" s="28" t="s">
        <v>248</v>
      </c>
      <c r="C54" s="73">
        <v>-43653</v>
      </c>
      <c r="E54" s="73">
        <v>2555126</v>
      </c>
      <c r="G54" s="73"/>
      <c r="H54" s="91"/>
      <c r="I54" s="73"/>
      <c r="K54" s="75">
        <f>SOFP!F140-SOFP!D140</f>
        <v>-105498646.5206641</v>
      </c>
      <c r="L54"/>
      <c r="M54" s="75">
        <v>45408402</v>
      </c>
      <c r="N54"/>
      <c r="O54" s="75" t="s">
        <v>225</v>
      </c>
      <c r="P54"/>
      <c r="Q54" s="75"/>
      <c r="R54"/>
      <c r="S54" s="75"/>
    </row>
    <row r="55" spans="1:19">
      <c r="A55" s="28" t="s">
        <v>249</v>
      </c>
      <c r="K55" s="75">
        <v>0</v>
      </c>
      <c r="M55" s="75" t="s">
        <v>225</v>
      </c>
      <c r="O55" s="75">
        <v>-334968861</v>
      </c>
      <c r="Q55" s="75">
        <v>-138904867</v>
      </c>
      <c r="S55" s="75">
        <v>132180606</v>
      </c>
    </row>
    <row r="56" spans="1:19">
      <c r="A56" s="28" t="s">
        <v>250</v>
      </c>
      <c r="K56" s="75">
        <v>0</v>
      </c>
      <c r="M56" s="75" t="s">
        <v>225</v>
      </c>
      <c r="O56" s="75">
        <v>-78711656</v>
      </c>
      <c r="Q56" s="75">
        <v>-43705242</v>
      </c>
      <c r="S56" s="75">
        <v>-72505857</v>
      </c>
    </row>
    <row r="57" spans="1:19">
      <c r="A57" s="28" t="s">
        <v>251</v>
      </c>
      <c r="C57" s="74">
        <v>-215593</v>
      </c>
      <c r="E57" s="74" t="s">
        <v>225</v>
      </c>
      <c r="G57" s="74"/>
      <c r="H57" s="90"/>
      <c r="I57" s="74"/>
      <c r="K57" s="310">
        <f>SOFP!F142-SOFP!D142</f>
        <v>-8231278.8723224327</v>
      </c>
      <c r="M57" s="75">
        <v>-1973419</v>
      </c>
      <c r="O57" s="75">
        <v>-450925</v>
      </c>
      <c r="Q57" s="75">
        <v>-2819460</v>
      </c>
      <c r="S57" s="75">
        <v>-857866</v>
      </c>
    </row>
    <row r="58" spans="1:19">
      <c r="A58" s="28" t="s">
        <v>252</v>
      </c>
      <c r="C58" s="75">
        <v>163017</v>
      </c>
      <c r="E58" s="75" t="s">
        <v>225</v>
      </c>
      <c r="G58" s="75"/>
      <c r="H58" s="90"/>
      <c r="I58" s="75"/>
      <c r="K58" s="75">
        <f>'P&amp;L'!D9</f>
        <v>4449656.5127956234</v>
      </c>
      <c r="M58" s="75">
        <v>3086558</v>
      </c>
      <c r="O58" s="75">
        <v>2295759</v>
      </c>
      <c r="Q58" s="75">
        <v>1689973</v>
      </c>
      <c r="S58" s="75">
        <v>743582</v>
      </c>
    </row>
    <row r="59" spans="1:19">
      <c r="A59" s="28" t="s">
        <v>253</v>
      </c>
      <c r="C59" s="75" t="s">
        <v>225</v>
      </c>
      <c r="E59" s="75">
        <v>-1202545</v>
      </c>
      <c r="G59" s="75"/>
      <c r="H59" s="90"/>
      <c r="I59" s="75"/>
      <c r="K59" s="75">
        <f>SOFP!F9-SOFP!D9-K11</f>
        <v>-32707572.976567123</v>
      </c>
      <c r="M59" s="75">
        <v>-24998434</v>
      </c>
      <c r="O59" s="75">
        <v>-17222863</v>
      </c>
      <c r="Q59" s="75">
        <v>-19464322</v>
      </c>
      <c r="S59" s="75">
        <v>-13571964</v>
      </c>
    </row>
    <row r="60" spans="1:19">
      <c r="A60" s="28" t="s">
        <v>254</v>
      </c>
      <c r="C60" s="75" t="s">
        <v>225</v>
      </c>
      <c r="E60" s="75">
        <v>-282576</v>
      </c>
      <c r="G60" s="75"/>
      <c r="H60" s="90"/>
      <c r="I60" s="75"/>
      <c r="K60" s="75">
        <f>SOFP!F11-SOFP!D11-CF!K12</f>
        <v>-7634648.6303163916</v>
      </c>
      <c r="M60" s="75">
        <v>-5251776</v>
      </c>
      <c r="O60" s="75">
        <v>-5376002</v>
      </c>
      <c r="Q60" s="75">
        <v>-7644075</v>
      </c>
      <c r="S60" s="75">
        <v>-3001342</v>
      </c>
    </row>
    <row r="61" spans="1:19">
      <c r="A61" s="28" t="s">
        <v>255</v>
      </c>
      <c r="C61" s="75">
        <v>-7085</v>
      </c>
      <c r="E61" s="75">
        <v>-1619</v>
      </c>
      <c r="G61" s="75"/>
      <c r="H61" s="90"/>
      <c r="I61" s="75"/>
      <c r="K61" s="75">
        <v>0</v>
      </c>
      <c r="M61" s="75">
        <v>550830</v>
      </c>
      <c r="O61" s="75">
        <v>281697</v>
      </c>
      <c r="Q61" s="75">
        <v>65071</v>
      </c>
      <c r="S61" s="75">
        <v>128881</v>
      </c>
    </row>
    <row r="62" spans="1:19">
      <c r="A62" s="43" t="s">
        <v>256</v>
      </c>
      <c r="C62" s="75">
        <v>11081</v>
      </c>
      <c r="E62" s="75">
        <v>8242</v>
      </c>
      <c r="G62" s="75"/>
      <c r="H62" s="90"/>
      <c r="I62" s="75"/>
      <c r="K62" s="76">
        <v>0</v>
      </c>
      <c r="M62" s="76">
        <v>-2750167</v>
      </c>
      <c r="O62" s="76">
        <v>10529694</v>
      </c>
      <c r="Q62" s="76">
        <v>2258212</v>
      </c>
      <c r="S62" s="76">
        <v>5465689</v>
      </c>
    </row>
    <row r="63" spans="1:19">
      <c r="A63" s="38" t="s">
        <v>257</v>
      </c>
      <c r="C63" s="75">
        <v>-89745</v>
      </c>
      <c r="E63" s="75">
        <v>-61830</v>
      </c>
      <c r="G63" s="75"/>
      <c r="H63" s="90"/>
      <c r="I63" s="75"/>
      <c r="K63" s="73">
        <f>SUM(K53:K62)</f>
        <v>-250735508.6092549</v>
      </c>
      <c r="L63" s="8"/>
      <c r="M63" s="73">
        <v>-45981429</v>
      </c>
      <c r="N63" s="8"/>
      <c r="O63" s="73">
        <v>-423623157</v>
      </c>
      <c r="P63" s="8"/>
      <c r="Q63" s="73">
        <v>-208524710</v>
      </c>
      <c r="R63" s="8"/>
      <c r="S63" s="73">
        <v>48797729</v>
      </c>
    </row>
    <row r="64" spans="1:19">
      <c r="A64" s="8"/>
      <c r="C64" s="75">
        <v>-18854</v>
      </c>
      <c r="E64" s="75">
        <v>-19300</v>
      </c>
      <c r="G64" s="75"/>
      <c r="H64" s="90"/>
      <c r="I64" s="75"/>
      <c r="K64" s="46"/>
      <c r="L64" s="8"/>
      <c r="M64" s="46"/>
      <c r="N64" s="8"/>
      <c r="O64" s="46"/>
      <c r="P64" s="8"/>
      <c r="Q64" s="46"/>
      <c r="R64" s="8"/>
      <c r="S64" s="46"/>
    </row>
    <row r="65" spans="1:19">
      <c r="A65" s="33" t="s">
        <v>258</v>
      </c>
      <c r="C65" s="75">
        <v>1977</v>
      </c>
      <c r="E65" s="75">
        <v>1011</v>
      </c>
      <c r="G65" s="75"/>
      <c r="H65" s="90"/>
      <c r="I65" s="75"/>
    </row>
    <row r="66" spans="1:19">
      <c r="A66" s="27" t="s">
        <v>259</v>
      </c>
      <c r="C66" s="76">
        <v>-9873</v>
      </c>
      <c r="E66" s="76">
        <v>37802</v>
      </c>
      <c r="G66" s="76"/>
      <c r="H66" s="90"/>
      <c r="I66" s="76"/>
      <c r="K66" s="74">
        <v>0</v>
      </c>
      <c r="M66" s="74"/>
      <c r="O66" s="74"/>
      <c r="Q66" s="74">
        <v>44140</v>
      </c>
      <c r="S66" s="74">
        <v>85115</v>
      </c>
    </row>
    <row r="67" spans="1:19" s="8" customFormat="1">
      <c r="A67" s="28" t="s">
        <v>260</v>
      </c>
      <c r="C67" s="73">
        <v>-165075</v>
      </c>
      <c r="E67" s="73">
        <v>-1520815</v>
      </c>
      <c r="G67" s="73"/>
      <c r="H67" s="91"/>
      <c r="I67" s="73"/>
      <c r="K67" s="75">
        <f>SOFP!D21-SOFP!F21</f>
        <v>638075.57528202236</v>
      </c>
      <c r="L67"/>
      <c r="M67" s="75">
        <v>675000</v>
      </c>
      <c r="N67"/>
      <c r="O67" s="75">
        <v>825000</v>
      </c>
      <c r="P67"/>
      <c r="Q67" s="75">
        <v>6500000</v>
      </c>
      <c r="R67"/>
      <c r="S67" s="75"/>
    </row>
    <row r="68" spans="1:19" s="8" customFormat="1">
      <c r="A68" s="28" t="s">
        <v>261</v>
      </c>
      <c r="C68" s="46"/>
      <c r="E68" s="46"/>
      <c r="G68" s="46"/>
      <c r="H68" s="89"/>
      <c r="I68" s="46"/>
      <c r="K68" s="75">
        <v>0</v>
      </c>
      <c r="L68"/>
      <c r="M68" s="75">
        <v>0</v>
      </c>
      <c r="N68"/>
      <c r="O68" s="75">
        <v>0</v>
      </c>
      <c r="P68"/>
      <c r="Q68" s="75">
        <v>-9982000</v>
      </c>
      <c r="R68"/>
      <c r="S68" s="75"/>
    </row>
    <row r="69" spans="1:19">
      <c r="A69" s="28" t="s">
        <v>262</v>
      </c>
      <c r="K69" s="75">
        <f>-'National Deposits'!C92</f>
        <v>-3576900.3823187072</v>
      </c>
      <c r="M69" s="75">
        <v>-4121360</v>
      </c>
      <c r="O69" s="75">
        <v>-4287065</v>
      </c>
      <c r="Q69" s="75">
        <v>-1847577</v>
      </c>
      <c r="S69" s="75">
        <v>-1517481</v>
      </c>
    </row>
    <row r="70" spans="1:19">
      <c r="A70" s="28" t="s">
        <v>208</v>
      </c>
      <c r="C70" s="74"/>
      <c r="E70" s="74"/>
      <c r="G70" s="74"/>
      <c r="H70" s="90"/>
      <c r="I70" s="74"/>
      <c r="K70" s="75">
        <f>'P&amp;L'!D150</f>
        <v>-7093427.6601672135</v>
      </c>
      <c r="M70" s="75">
        <v>-5759500</v>
      </c>
      <c r="O70" s="75">
        <v>-5683153</v>
      </c>
      <c r="Q70" s="75">
        <v>-4939145</v>
      </c>
      <c r="S70" s="75">
        <v>-5113819</v>
      </c>
    </row>
    <row r="71" spans="1:19">
      <c r="A71" s="43" t="s">
        <v>263</v>
      </c>
      <c r="C71" s="75">
        <v>2423</v>
      </c>
      <c r="E71" s="75">
        <v>2962</v>
      </c>
      <c r="G71" s="75"/>
      <c r="H71" s="90"/>
      <c r="I71" s="75"/>
      <c r="K71" s="76">
        <f>-('P&amp;L'!D33-'P&amp;L'!D39)</f>
        <v>-16134369.065854855</v>
      </c>
      <c r="M71" s="76">
        <v>-25265428</v>
      </c>
      <c r="O71" s="76">
        <v>-12358209</v>
      </c>
      <c r="Q71" s="76">
        <v>-8493514</v>
      </c>
      <c r="S71" s="76">
        <v>-10855155</v>
      </c>
    </row>
    <row r="72" spans="1:19">
      <c r="A72" s="38" t="s">
        <v>264</v>
      </c>
      <c r="C72" s="75"/>
      <c r="E72" s="75"/>
      <c r="G72" s="75"/>
      <c r="H72" s="90"/>
      <c r="I72" s="75"/>
      <c r="K72" s="73">
        <f>SUM(K66:K71)</f>
        <v>-26166621.533058755</v>
      </c>
      <c r="L72" s="8"/>
      <c r="M72" s="73">
        <v>-34471288</v>
      </c>
      <c r="N72" s="8"/>
      <c r="O72" s="73">
        <v>-21503427</v>
      </c>
      <c r="P72" s="8"/>
      <c r="Q72" s="73">
        <v>-8736096</v>
      </c>
      <c r="R72" s="8"/>
      <c r="S72" s="73">
        <v>-27383340</v>
      </c>
    </row>
    <row r="73" spans="1:19">
      <c r="C73" s="75">
        <v>-14796</v>
      </c>
      <c r="E73" s="75">
        <v>-15391</v>
      </c>
      <c r="G73" s="75"/>
      <c r="H73" s="90"/>
      <c r="I73" s="75"/>
      <c r="K73" s="5"/>
      <c r="M73" s="5"/>
      <c r="P73" s="8"/>
      <c r="Q73" s="5"/>
      <c r="R73" s="8"/>
      <c r="S73" s="5"/>
    </row>
    <row r="74" spans="1:19">
      <c r="A74" s="38" t="s">
        <v>265</v>
      </c>
      <c r="C74" s="75">
        <v>-20677</v>
      </c>
      <c r="E74" s="75">
        <v>-20403</v>
      </c>
      <c r="G74" s="75"/>
      <c r="H74" s="90"/>
      <c r="I74" s="75"/>
      <c r="K74" s="73">
        <f>K72+K63+K50</f>
        <v>-32565994.132760644</v>
      </c>
      <c r="L74" s="8"/>
      <c r="M74" s="73">
        <v>-92612601</v>
      </c>
      <c r="N74" s="8"/>
      <c r="O74" s="73">
        <v>266603721</v>
      </c>
      <c r="P74" s="8"/>
      <c r="Q74" s="73">
        <v>-168161913</v>
      </c>
      <c r="R74" s="8"/>
      <c r="S74" s="73">
        <v>73876372</v>
      </c>
    </row>
    <row r="75" spans="1:19">
      <c r="A75" s="27" t="s">
        <v>266</v>
      </c>
      <c r="C75" s="76">
        <v>-90703</v>
      </c>
      <c r="E75" s="76">
        <v>-44366</v>
      </c>
      <c r="G75" s="76"/>
      <c r="H75" s="90"/>
      <c r="I75" s="76"/>
      <c r="K75" s="74">
        <f>M78</f>
        <v>511519528</v>
      </c>
      <c r="M75" s="74">
        <v>624857321</v>
      </c>
      <c r="O75" s="74">
        <v>330872995</v>
      </c>
      <c r="Q75" s="74">
        <v>482746454</v>
      </c>
      <c r="S75" s="74">
        <v>422601823</v>
      </c>
    </row>
    <row r="76" spans="1:19" s="8" customFormat="1">
      <c r="A76" s="43" t="s">
        <v>267</v>
      </c>
      <c r="C76" s="73">
        <v>-123753</v>
      </c>
      <c r="E76" s="73">
        <v>-77198</v>
      </c>
      <c r="G76" s="73"/>
      <c r="H76" s="91"/>
      <c r="I76" s="73"/>
      <c r="K76" s="76">
        <v>0</v>
      </c>
      <c r="L76"/>
      <c r="M76" s="76">
        <v>-20725192</v>
      </c>
      <c r="N76"/>
      <c r="O76" s="76">
        <v>6655413</v>
      </c>
      <c r="P76"/>
      <c r="Q76" s="76">
        <v>22943867</v>
      </c>
      <c r="R76"/>
      <c r="S76" s="76">
        <v>9212126</v>
      </c>
    </row>
    <row r="77" spans="1:19" s="8" customFormat="1">
      <c r="A77" s="38" t="s">
        <v>268</v>
      </c>
      <c r="C77" s="5"/>
      <c r="D77"/>
      <c r="E77" s="5"/>
      <c r="F77"/>
      <c r="G77" s="5"/>
      <c r="H77" s="88"/>
      <c r="I77" s="5"/>
      <c r="J77"/>
      <c r="K77" s="73">
        <f>M78</f>
        <v>511519528</v>
      </c>
      <c r="M77" s="73">
        <v>604132129</v>
      </c>
      <c r="O77" s="73">
        <v>337528408</v>
      </c>
      <c r="Q77" s="73">
        <v>505690321</v>
      </c>
      <c r="S77" s="73">
        <v>431813949</v>
      </c>
    </row>
    <row r="78" spans="1:19" s="8" customFormat="1">
      <c r="A78" s="38" t="s">
        <v>269</v>
      </c>
      <c r="C78" s="73">
        <v>-332481</v>
      </c>
      <c r="E78" s="73">
        <v>957113</v>
      </c>
      <c r="G78" s="73"/>
      <c r="H78" s="91"/>
      <c r="I78" s="73"/>
      <c r="K78" s="78">
        <f>K74+K77</f>
        <v>478953533.86723936</v>
      </c>
      <c r="M78" s="78">
        <v>511519528</v>
      </c>
      <c r="O78" s="78">
        <v>604132129</v>
      </c>
      <c r="P78"/>
      <c r="Q78" s="78">
        <v>337528408</v>
      </c>
      <c r="R78"/>
      <c r="S78" s="78">
        <v>505690321</v>
      </c>
    </row>
    <row r="79" spans="1:19">
      <c r="A79" s="63"/>
      <c r="C79" s="74">
        <v>2243250</v>
      </c>
      <c r="E79" s="74">
        <v>1187841</v>
      </c>
      <c r="G79" s="74"/>
      <c r="H79" s="90"/>
      <c r="I79" s="74"/>
    </row>
    <row r="80" spans="1:19">
      <c r="C80" s="76">
        <v>-74404</v>
      </c>
      <c r="E80" s="76">
        <v>23894</v>
      </c>
      <c r="G80" s="76"/>
      <c r="H80" s="90"/>
      <c r="I80" s="76"/>
    </row>
    <row r="81" spans="1:19" s="8" customFormat="1">
      <c r="A81" s="63"/>
      <c r="C81" s="73">
        <v>2168846</v>
      </c>
      <c r="E81" s="73">
        <v>1211735</v>
      </c>
      <c r="G81" s="73"/>
      <c r="H81" s="91"/>
      <c r="I81" s="73"/>
      <c r="K81" s="88"/>
      <c r="L81"/>
      <c r="M81" s="88"/>
      <c r="N81"/>
      <c r="O81" s="5"/>
      <c r="P81"/>
      <c r="Q81" s="88"/>
      <c r="R81"/>
      <c r="S81" s="88"/>
    </row>
    <row r="82" spans="1:19">
      <c r="A82" s="63"/>
      <c r="C82" s="78">
        <v>1836365</v>
      </c>
      <c r="D82" s="8"/>
      <c r="E82" s="78">
        <v>2168848</v>
      </c>
      <c r="F82" s="8"/>
      <c r="G82" s="78"/>
      <c r="H82" s="91"/>
      <c r="I82" s="78"/>
      <c r="J82" s="8"/>
    </row>
    <row r="83" spans="1:19">
      <c r="A83" s="63"/>
    </row>
    <row r="84" spans="1:19">
      <c r="A84" s="63"/>
    </row>
    <row r="86" spans="1:19">
      <c r="A86" s="63"/>
    </row>
    <row r="87" spans="1:19">
      <c r="A87" s="63"/>
    </row>
    <row r="88" spans="1:19">
      <c r="A88" s="63"/>
    </row>
    <row r="89" spans="1:19">
      <c r="A89" s="63"/>
      <c r="C89"/>
      <c r="G89"/>
    </row>
    <row r="90" spans="1:19">
      <c r="C90"/>
      <c r="G90"/>
    </row>
    <row r="91" spans="1:19">
      <c r="A91" s="63"/>
      <c r="C91"/>
      <c r="G91"/>
    </row>
    <row r="92" spans="1:19">
      <c r="A92" s="63"/>
      <c r="C92"/>
      <c r="G92"/>
    </row>
    <row r="93" spans="1:19">
      <c r="A93" s="63"/>
      <c r="C93"/>
      <c r="G93"/>
    </row>
    <row r="94" spans="1:19">
      <c r="C94"/>
      <c r="G94"/>
    </row>
    <row r="95" spans="1:19">
      <c r="C95"/>
      <c r="G95"/>
    </row>
    <row r="96" spans="1:19">
      <c r="A96" s="63"/>
      <c r="C96"/>
      <c r="G96"/>
    </row>
    <row r="97" spans="1:7">
      <c r="A97" s="63"/>
      <c r="C97"/>
      <c r="G97"/>
    </row>
    <row r="98" spans="1:7">
      <c r="A98" s="63"/>
      <c r="C98"/>
      <c r="G98"/>
    </row>
    <row r="99" spans="1:7">
      <c r="A99" s="63"/>
      <c r="C99"/>
      <c r="G99"/>
    </row>
    <row r="100" spans="1:7">
      <c r="C100"/>
      <c r="G100"/>
    </row>
    <row r="101" spans="1:7">
      <c r="A101" s="63"/>
      <c r="C101"/>
      <c r="G101"/>
    </row>
    <row r="102" spans="1:7">
      <c r="A102" s="63"/>
      <c r="C102"/>
      <c r="G102"/>
    </row>
    <row r="103" spans="1:7">
      <c r="C103"/>
      <c r="G103"/>
    </row>
    <row r="104" spans="1:7">
      <c r="C104"/>
      <c r="G104"/>
    </row>
    <row r="105" spans="1:7">
      <c r="C105"/>
      <c r="G105"/>
    </row>
    <row r="106" spans="1:7">
      <c r="A106" s="63"/>
      <c r="C106"/>
      <c r="G106"/>
    </row>
    <row r="107" spans="1:7">
      <c r="C107"/>
      <c r="G107"/>
    </row>
    <row r="108" spans="1:7">
      <c r="A108" s="63"/>
      <c r="C108"/>
      <c r="G108"/>
    </row>
    <row r="109" spans="1:7">
      <c r="A109" s="63"/>
      <c r="C109"/>
      <c r="G109"/>
    </row>
    <row r="110" spans="1:7">
      <c r="C110"/>
      <c r="G110"/>
    </row>
    <row r="111" spans="1:7">
      <c r="A111" s="63"/>
      <c r="C111"/>
      <c r="G111"/>
    </row>
    <row r="112" spans="1:7">
      <c r="A112" s="63"/>
      <c r="C112"/>
      <c r="G112"/>
    </row>
    <row r="113" spans="1:7">
      <c r="A113" s="63"/>
      <c r="C113"/>
      <c r="G113"/>
    </row>
    <row r="114" spans="1:7">
      <c r="C114"/>
    </row>
    <row r="115" spans="1:7">
      <c r="C115"/>
    </row>
    <row r="116" spans="1:7">
      <c r="A116" s="63"/>
      <c r="C116"/>
    </row>
    <row r="117" spans="1:7">
      <c r="A117" s="63"/>
      <c r="C117"/>
    </row>
    <row r="118" spans="1:7">
      <c r="A118" s="63"/>
      <c r="C118"/>
    </row>
    <row r="119" spans="1:7">
      <c r="C119"/>
    </row>
    <row r="120" spans="1:7">
      <c r="C120"/>
    </row>
    <row r="121" spans="1:7">
      <c r="A121" s="63"/>
      <c r="C121"/>
    </row>
    <row r="122" spans="1:7">
      <c r="C122"/>
    </row>
    <row r="123" spans="1:7">
      <c r="C123"/>
    </row>
    <row r="124" spans="1:7">
      <c r="A124" s="63"/>
      <c r="C124"/>
    </row>
    <row r="125" spans="1:7">
      <c r="C125"/>
    </row>
    <row r="126" spans="1:7">
      <c r="C126"/>
    </row>
    <row r="127" spans="1:7">
      <c r="A127" s="63"/>
      <c r="C127"/>
    </row>
    <row r="128" spans="1:7">
      <c r="C128"/>
    </row>
    <row r="129" spans="1:5">
      <c r="A129" s="63"/>
      <c r="C129"/>
    </row>
    <row r="130" spans="1:5">
      <c r="C130"/>
    </row>
    <row r="131" spans="1:5">
      <c r="C131"/>
    </row>
    <row r="132" spans="1:5">
      <c r="A132" s="63"/>
      <c r="C132"/>
    </row>
    <row r="133" spans="1:5">
      <c r="C133"/>
    </row>
    <row r="134" spans="1:5">
      <c r="A134" s="63"/>
      <c r="C134"/>
    </row>
    <row r="135" spans="1:5">
      <c r="C135"/>
    </row>
    <row r="136" spans="1:5">
      <c r="A136" s="63"/>
      <c r="C136"/>
    </row>
    <row r="137" spans="1:5">
      <c r="A137" s="63"/>
      <c r="C137"/>
    </row>
    <row r="138" spans="1:5">
      <c r="C138"/>
    </row>
    <row r="139" spans="1:5">
      <c r="C139"/>
    </row>
    <row r="140" spans="1:5">
      <c r="C140"/>
    </row>
    <row r="141" spans="1:5">
      <c r="A141" s="63"/>
      <c r="C141"/>
    </row>
    <row r="142" spans="1:5">
      <c r="A142" s="63"/>
      <c r="C142"/>
      <c r="E142"/>
    </row>
    <row r="143" spans="1:5">
      <c r="A143" s="63"/>
      <c r="C143"/>
      <c r="E143"/>
    </row>
    <row r="144" spans="1:5">
      <c r="C144"/>
    </row>
    <row r="145" spans="1:6">
      <c r="C145"/>
    </row>
    <row r="146" spans="1:6">
      <c r="A146" s="63"/>
      <c r="C146"/>
    </row>
    <row r="147" spans="1:6">
      <c r="C147"/>
    </row>
    <row r="148" spans="1:6">
      <c r="A148" s="63"/>
      <c r="C148"/>
    </row>
    <row r="149" spans="1:6">
      <c r="A149" s="63"/>
      <c r="C149"/>
    </row>
    <row r="150" spans="1:6">
      <c r="C150"/>
    </row>
    <row r="151" spans="1:6">
      <c r="A151" s="63"/>
      <c r="C151"/>
    </row>
    <row r="152" spans="1:6">
      <c r="A152" s="63"/>
      <c r="C152"/>
      <c r="E152"/>
      <c r="F152" s="88"/>
    </row>
    <row r="153" spans="1:6">
      <c r="A153" s="63"/>
    </row>
    <row r="154" spans="1:6">
      <c r="A154" s="63"/>
    </row>
    <row r="155" spans="1:6">
      <c r="A155" s="63"/>
    </row>
    <row r="156" spans="1:6">
      <c r="A156" s="63"/>
    </row>
    <row r="157" spans="1:6">
      <c r="A157" s="63"/>
    </row>
    <row r="158" spans="1:6">
      <c r="A158" s="63"/>
    </row>
    <row r="159" spans="1:6">
      <c r="A159" s="63"/>
    </row>
    <row r="160" spans="1:6">
      <c r="A160" s="63"/>
    </row>
    <row r="162" spans="1:1">
      <c r="A162" s="63"/>
    </row>
    <row r="163" spans="1:1">
      <c r="A163" s="63"/>
    </row>
    <row r="165" spans="1:1">
      <c r="A165" s="63"/>
    </row>
    <row r="166" spans="1:1">
      <c r="A166" s="63"/>
    </row>
    <row r="167" spans="1:1">
      <c r="A167" s="63"/>
    </row>
    <row r="170" spans="1:1">
      <c r="A170" s="63"/>
    </row>
    <row r="173" spans="1:1">
      <c r="A173" s="63"/>
    </row>
    <row r="176" spans="1:1">
      <c r="A176" s="63"/>
    </row>
    <row r="177" spans="1:1">
      <c r="A177" s="63"/>
    </row>
    <row r="178" spans="1:1">
      <c r="A178" s="63"/>
    </row>
    <row r="180" spans="1:1">
      <c r="A180" s="63"/>
    </row>
    <row r="181" spans="1:1">
      <c r="A181" s="63"/>
    </row>
    <row r="182" spans="1:1">
      <c r="A182" s="63"/>
    </row>
    <row r="183" spans="1:1">
      <c r="A183" s="63"/>
    </row>
    <row r="185" spans="1:1">
      <c r="A185" s="63"/>
    </row>
    <row r="186" spans="1:1">
      <c r="A186" s="63"/>
    </row>
    <row r="187" spans="1:1">
      <c r="A187" s="63"/>
    </row>
    <row r="188" spans="1:1">
      <c r="A188" s="63"/>
    </row>
    <row r="189" spans="1:1">
      <c r="A189" s="63"/>
    </row>
    <row r="190" spans="1:1">
      <c r="A190" s="63"/>
    </row>
    <row r="192" spans="1:1">
      <c r="A192" s="63"/>
    </row>
    <row r="193" spans="1:1">
      <c r="A193" s="63"/>
    </row>
    <row r="195" spans="1:1">
      <c r="A195" s="63"/>
    </row>
    <row r="196" spans="1:1">
      <c r="A196" s="63"/>
    </row>
    <row r="197" spans="1:1">
      <c r="A197" s="63"/>
    </row>
    <row r="198" spans="1:1">
      <c r="A198" s="63"/>
    </row>
    <row r="200" spans="1:1">
      <c r="A200" s="63"/>
    </row>
    <row r="201" spans="1:1">
      <c r="A201" s="63"/>
    </row>
    <row r="202" spans="1:1">
      <c r="A202" s="63"/>
    </row>
    <row r="203" spans="1:1">
      <c r="A203" s="63"/>
    </row>
    <row r="205" spans="1:1">
      <c r="A205" s="63"/>
    </row>
    <row r="206" spans="1:1">
      <c r="A206" s="63"/>
    </row>
    <row r="207" spans="1:1">
      <c r="A207" s="63"/>
    </row>
    <row r="208" spans="1:1">
      <c r="A208" s="63"/>
    </row>
    <row r="210" spans="1:1">
      <c r="A210" s="63"/>
    </row>
    <row r="211" spans="1:1">
      <c r="A211" s="63"/>
    </row>
    <row r="212" spans="1:1">
      <c r="A212" s="63"/>
    </row>
    <row r="213" spans="1:1">
      <c r="A213" s="63"/>
    </row>
    <row r="214" spans="1:1">
      <c r="A214" s="63"/>
    </row>
    <row r="215" spans="1:1">
      <c r="A215" s="63"/>
    </row>
    <row r="216" spans="1:1">
      <c r="A216" s="63"/>
    </row>
    <row r="217" spans="1:1">
      <c r="A217" s="63"/>
    </row>
    <row r="218" spans="1:1">
      <c r="A218" s="63"/>
    </row>
    <row r="219" spans="1:1">
      <c r="A219" s="63"/>
    </row>
    <row r="220" spans="1:1">
      <c r="A220" s="63"/>
    </row>
    <row r="221" spans="1:1">
      <c r="A221" s="63"/>
    </row>
    <row r="223" spans="1:1">
      <c r="A223" s="63"/>
    </row>
    <row r="224" spans="1:1">
      <c r="A224" s="63"/>
    </row>
    <row r="225" spans="1:1">
      <c r="A225" s="63"/>
    </row>
    <row r="226" spans="1:1">
      <c r="A226" s="63"/>
    </row>
    <row r="228" spans="1:1">
      <c r="A228" s="63"/>
    </row>
    <row r="229" spans="1:1">
      <c r="A229" s="63"/>
    </row>
    <row r="231" spans="1:1">
      <c r="A231" s="63"/>
    </row>
    <row r="234" spans="1:1">
      <c r="A234" s="63"/>
    </row>
    <row r="236" spans="1:1">
      <c r="A236" s="63"/>
    </row>
    <row r="239" spans="1:1">
      <c r="A239" s="63"/>
    </row>
    <row r="242" spans="1:1">
      <c r="A242" s="63"/>
    </row>
    <row r="245" spans="1:1">
      <c r="A245" s="63"/>
    </row>
    <row r="247" spans="1:1">
      <c r="A247" s="63"/>
    </row>
    <row r="250" spans="1:1">
      <c r="A250" s="63"/>
    </row>
    <row r="251" spans="1:1">
      <c r="A251" s="63"/>
    </row>
    <row r="252" spans="1:1">
      <c r="A252" s="63"/>
    </row>
    <row r="254" spans="1:1">
      <c r="A254" s="63"/>
    </row>
    <row r="255" spans="1:1">
      <c r="A255" s="63"/>
    </row>
    <row r="256" spans="1:1">
      <c r="A256" s="63"/>
    </row>
    <row r="257" spans="1:1">
      <c r="A257" s="63"/>
    </row>
    <row r="259" spans="1:1">
      <c r="A259" s="63"/>
    </row>
    <row r="260" spans="1:1">
      <c r="A260" s="63"/>
    </row>
    <row r="261" spans="1:1">
      <c r="A261" s="63"/>
    </row>
    <row r="262" spans="1:1">
      <c r="A262" s="63"/>
    </row>
    <row r="264" spans="1:1">
      <c r="A264" s="63"/>
    </row>
    <row r="265" spans="1:1">
      <c r="A265" s="63"/>
    </row>
    <row r="266" spans="1:1">
      <c r="A266" s="63"/>
    </row>
    <row r="267" spans="1:1">
      <c r="A267" s="63"/>
    </row>
    <row r="269" spans="1:1">
      <c r="A269" s="63"/>
    </row>
    <row r="270" spans="1:1">
      <c r="A270" s="63"/>
    </row>
    <row r="271" spans="1:1">
      <c r="A271" s="63"/>
    </row>
    <row r="272" spans="1:1">
      <c r="A272" s="63"/>
    </row>
    <row r="274" spans="1:1">
      <c r="A274" s="63"/>
    </row>
    <row r="275" spans="1:1">
      <c r="A275" s="63"/>
    </row>
    <row r="277" spans="1:1">
      <c r="A277" s="63"/>
    </row>
    <row r="278" spans="1:1">
      <c r="A278" s="63"/>
    </row>
    <row r="280" spans="1:1">
      <c r="A280" s="63"/>
    </row>
    <row r="281" spans="1:1">
      <c r="A281" s="63"/>
    </row>
    <row r="282" spans="1:1">
      <c r="A282" s="63"/>
    </row>
    <row r="283" spans="1:1">
      <c r="A283" s="63"/>
    </row>
    <row r="285" spans="1:1">
      <c r="A285" s="63"/>
    </row>
    <row r="286" spans="1:1">
      <c r="A286" s="63"/>
    </row>
    <row r="288" spans="1:1">
      <c r="A288" s="63"/>
    </row>
    <row r="289" spans="1:1">
      <c r="A289" s="63"/>
    </row>
    <row r="291" spans="1:1">
      <c r="A291" s="63"/>
    </row>
    <row r="292" spans="1:1">
      <c r="A292" s="63"/>
    </row>
    <row r="293" spans="1:1">
      <c r="A293" s="63"/>
    </row>
    <row r="294" spans="1:1">
      <c r="A294" s="63"/>
    </row>
    <row r="296" spans="1:1">
      <c r="A296" s="63"/>
    </row>
    <row r="297" spans="1:1">
      <c r="A297" s="63"/>
    </row>
    <row r="298" spans="1:1">
      <c r="A298" s="63"/>
    </row>
    <row r="299" spans="1:1">
      <c r="A299" s="63"/>
    </row>
    <row r="301" spans="1:1">
      <c r="A301" s="63"/>
    </row>
    <row r="302" spans="1:1">
      <c r="A302" s="63"/>
    </row>
    <row r="303" spans="1:1">
      <c r="A303" s="63"/>
    </row>
    <row r="304" spans="1:1">
      <c r="A304" s="63"/>
    </row>
    <row r="306" spans="1:1">
      <c r="A306" s="63"/>
    </row>
    <row r="307" spans="1:1">
      <c r="A307" s="63"/>
    </row>
    <row r="308" spans="1:1">
      <c r="A308" s="63"/>
    </row>
    <row r="309" spans="1:1">
      <c r="A309" s="63"/>
    </row>
    <row r="311" spans="1:1">
      <c r="A311" s="63"/>
    </row>
    <row r="312" spans="1:1">
      <c r="A312" s="63"/>
    </row>
    <row r="313" spans="1:1">
      <c r="A313" s="63"/>
    </row>
    <row r="314" spans="1:1">
      <c r="A314" s="63"/>
    </row>
    <row r="316" spans="1:1">
      <c r="A316" s="63"/>
    </row>
    <row r="317" spans="1:1">
      <c r="A317" s="63"/>
    </row>
    <row r="318" spans="1:1">
      <c r="A318" s="63"/>
    </row>
    <row r="319" spans="1:1">
      <c r="A319" s="63"/>
    </row>
    <row r="321" spans="1:1">
      <c r="A321" s="63"/>
    </row>
    <row r="322" spans="1:1">
      <c r="A322" s="63"/>
    </row>
    <row r="323" spans="1:1">
      <c r="A323" s="63"/>
    </row>
    <row r="324" spans="1:1">
      <c r="A324" s="63"/>
    </row>
    <row r="326" spans="1:1">
      <c r="A326" s="63"/>
    </row>
    <row r="327" spans="1:1">
      <c r="A327" s="63"/>
    </row>
    <row r="328" spans="1:1">
      <c r="A328" s="63"/>
    </row>
    <row r="329" spans="1:1">
      <c r="A329" s="63"/>
    </row>
    <row r="330" spans="1:1">
      <c r="A330" s="63"/>
    </row>
    <row r="331" spans="1:1">
      <c r="A331" s="63"/>
    </row>
    <row r="332" spans="1:1">
      <c r="A332" s="63"/>
    </row>
    <row r="333" spans="1:1">
      <c r="A333" s="63"/>
    </row>
    <row r="335" spans="1:1">
      <c r="A335" s="63"/>
    </row>
    <row r="336" spans="1:1">
      <c r="A336"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8652-A93C-41AF-8E3F-ACC428863001}">
  <dimension ref="A1:M148"/>
  <sheetViews>
    <sheetView showGridLines="0" topLeftCell="A61" zoomScale="85" zoomScaleNormal="85" workbookViewId="0">
      <pane xSplit="1" topLeftCell="B1" activePane="topRight" state="frozen"/>
      <selection pane="topRight" activeCell="A91" sqref="A91"/>
    </sheetView>
  </sheetViews>
  <sheetFormatPr defaultRowHeight="14.45"/>
  <cols>
    <col min="1" max="1" width="109.7109375" bestFit="1" customWidth="1"/>
    <col min="2" max="2" width="7.7109375" customWidth="1"/>
    <col min="3" max="3" width="15.85546875" customWidth="1"/>
    <col min="4" max="4" width="7.28515625" bestFit="1" customWidth="1"/>
    <col min="5" max="5" width="16" customWidth="1"/>
    <col min="6" max="6" width="7.28515625" bestFit="1" customWidth="1"/>
    <col min="7" max="7" width="15.85546875" customWidth="1"/>
    <col min="8" max="8" width="7.28515625" bestFit="1" customWidth="1"/>
    <col min="9" max="9" width="15.85546875" customWidth="1"/>
  </cols>
  <sheetData>
    <row r="1" spans="1:9">
      <c r="A1" s="33" t="s">
        <v>0</v>
      </c>
    </row>
    <row r="2" spans="1:9">
      <c r="A2" s="33" t="s">
        <v>270</v>
      </c>
      <c r="C2" s="37" t="s">
        <v>1</v>
      </c>
      <c r="E2" s="37" t="s">
        <v>1</v>
      </c>
      <c r="G2" s="37" t="s">
        <v>1</v>
      </c>
      <c r="I2" s="37" t="s">
        <v>1</v>
      </c>
    </row>
    <row r="3" spans="1:9">
      <c r="A3" s="33" t="s">
        <v>271</v>
      </c>
      <c r="C3" s="37">
        <v>24</v>
      </c>
      <c r="D3" s="9"/>
      <c r="E3" s="37">
        <v>23</v>
      </c>
      <c r="F3" s="9"/>
      <c r="G3" s="37">
        <v>22</v>
      </c>
      <c r="H3" s="9"/>
      <c r="I3" s="37">
        <v>21</v>
      </c>
    </row>
    <row r="4" spans="1:9">
      <c r="A4" t="s">
        <v>272</v>
      </c>
      <c r="C4" s="74">
        <v>188007983</v>
      </c>
      <c r="D4" s="5"/>
      <c r="E4" s="74">
        <v>220694114</v>
      </c>
      <c r="G4" s="74">
        <v>169188045</v>
      </c>
      <c r="I4" s="74">
        <v>134646975</v>
      </c>
    </row>
    <row r="5" spans="1:9">
      <c r="A5" t="s">
        <v>273</v>
      </c>
      <c r="C5" s="75">
        <v>40515867</v>
      </c>
      <c r="D5" s="5"/>
      <c r="E5" s="75">
        <v>34860385</v>
      </c>
      <c r="G5" s="75">
        <v>34618570</v>
      </c>
      <c r="I5" s="75">
        <v>34638689</v>
      </c>
    </row>
    <row r="6" spans="1:9">
      <c r="A6" t="s">
        <v>274</v>
      </c>
      <c r="C6" s="75">
        <v>0</v>
      </c>
      <c r="D6" s="5"/>
      <c r="E6" s="75">
        <v>0</v>
      </c>
      <c r="G6" s="75">
        <v>379658</v>
      </c>
      <c r="I6" s="75">
        <v>623184</v>
      </c>
    </row>
    <row r="7" spans="1:9">
      <c r="A7" t="s">
        <v>275</v>
      </c>
      <c r="C7" s="75">
        <v>142832495</v>
      </c>
      <c r="D7" s="5"/>
      <c r="E7" s="75">
        <v>88249491</v>
      </c>
      <c r="G7" s="75">
        <v>71698824</v>
      </c>
      <c r="I7" s="75">
        <v>99803166</v>
      </c>
    </row>
    <row r="8" spans="1:9">
      <c r="A8" t="s">
        <v>276</v>
      </c>
      <c r="C8" s="75">
        <v>584863243</v>
      </c>
      <c r="D8" s="5"/>
      <c r="E8" s="75">
        <v>596497395</v>
      </c>
      <c r="G8" s="75">
        <v>603109959</v>
      </c>
      <c r="I8" s="75">
        <v>517129917</v>
      </c>
    </row>
    <row r="9" spans="1:9">
      <c r="A9" t="s">
        <v>277</v>
      </c>
      <c r="C9" s="75">
        <v>307316054</v>
      </c>
      <c r="D9" s="5"/>
      <c r="E9" s="75">
        <v>283150039</v>
      </c>
      <c r="G9" s="75">
        <v>261121134</v>
      </c>
      <c r="I9" s="75">
        <v>217681533</v>
      </c>
    </row>
    <row r="10" spans="1:9">
      <c r="A10" t="s">
        <v>278</v>
      </c>
      <c r="C10" s="75">
        <v>17690609</v>
      </c>
      <c r="D10" s="5"/>
      <c r="E10" s="75">
        <v>13106314</v>
      </c>
      <c r="G10" s="75">
        <v>8715744</v>
      </c>
      <c r="I10" s="75">
        <v>6979380</v>
      </c>
    </row>
    <row r="11" spans="1:9">
      <c r="A11" t="s">
        <v>279</v>
      </c>
      <c r="C11" s="75">
        <v>1781213</v>
      </c>
      <c r="D11" s="5"/>
      <c r="E11" s="75">
        <v>1922030</v>
      </c>
      <c r="G11" s="75">
        <v>2025188</v>
      </c>
      <c r="I11" s="75">
        <v>518924</v>
      </c>
    </row>
    <row r="12" spans="1:9">
      <c r="A12" t="s">
        <v>280</v>
      </c>
      <c r="C12" s="75">
        <v>8196097</v>
      </c>
      <c r="D12" s="5"/>
      <c r="E12" s="75">
        <v>16220289</v>
      </c>
      <c r="G12" s="75">
        <v>12675228</v>
      </c>
      <c r="I12" s="75">
        <v>6979726</v>
      </c>
    </row>
    <row r="13" spans="1:9">
      <c r="A13" t="s">
        <v>281</v>
      </c>
      <c r="C13" s="75">
        <v>5864302</v>
      </c>
      <c r="D13" s="5"/>
      <c r="E13" s="75">
        <v>8571270</v>
      </c>
      <c r="G13" s="75">
        <v>6777298</v>
      </c>
      <c r="I13" s="75">
        <v>3750255</v>
      </c>
    </row>
    <row r="14" spans="1:9">
      <c r="A14" t="s">
        <v>282</v>
      </c>
      <c r="C14" s="75">
        <v>581993</v>
      </c>
      <c r="D14" s="5"/>
      <c r="E14" s="75">
        <v>7117404</v>
      </c>
      <c r="G14" s="75">
        <v>7141103</v>
      </c>
      <c r="I14" s="75">
        <v>7181663</v>
      </c>
    </row>
    <row r="15" spans="1:9">
      <c r="A15" t="s">
        <v>283</v>
      </c>
      <c r="C15" s="75">
        <v>81744833</v>
      </c>
      <c r="D15" s="5"/>
      <c r="E15" s="75">
        <v>65252955</v>
      </c>
      <c r="G15" s="75">
        <v>69195283</v>
      </c>
      <c r="I15" s="75">
        <v>51542950</v>
      </c>
    </row>
    <row r="16" spans="1:9">
      <c r="A16" t="s">
        <v>284</v>
      </c>
      <c r="C16" s="75">
        <v>158233195</v>
      </c>
      <c r="D16" s="5"/>
      <c r="E16" s="75">
        <v>141894467</v>
      </c>
      <c r="G16" s="75">
        <v>113871657</v>
      </c>
      <c r="I16" s="75">
        <v>98676342</v>
      </c>
    </row>
    <row r="17" spans="1:9">
      <c r="A17" t="s">
        <v>77</v>
      </c>
      <c r="C17" s="76">
        <v>43799952</v>
      </c>
      <c r="D17" s="5"/>
      <c r="E17" s="76">
        <v>39138418</v>
      </c>
      <c r="G17" s="76">
        <v>40611088</v>
      </c>
      <c r="I17" s="76">
        <v>16582392</v>
      </c>
    </row>
    <row r="18" spans="1:9">
      <c r="A18" s="38" t="s">
        <v>285</v>
      </c>
      <c r="C18" s="73">
        <v>1581427836</v>
      </c>
      <c r="D18" s="5"/>
      <c r="E18" s="73">
        <v>1516674571</v>
      </c>
      <c r="G18" s="73">
        <v>1401128779</v>
      </c>
      <c r="I18" s="73">
        <v>1196735096</v>
      </c>
    </row>
    <row r="19" spans="1:9">
      <c r="C19" s="79"/>
      <c r="D19" s="5"/>
      <c r="E19" s="79"/>
      <c r="G19" s="79"/>
      <c r="I19" s="79"/>
    </row>
    <row r="20" spans="1:9">
      <c r="A20" s="33" t="s">
        <v>286</v>
      </c>
      <c r="C20" s="5"/>
      <c r="D20" s="5"/>
      <c r="E20" s="5"/>
      <c r="G20" s="5"/>
      <c r="I20" s="5"/>
    </row>
    <row r="21" spans="1:9">
      <c r="A21" t="s">
        <v>287</v>
      </c>
      <c r="C21" s="74">
        <v>139947639</v>
      </c>
      <c r="D21" s="5"/>
      <c r="E21" s="74">
        <v>121315175</v>
      </c>
      <c r="G21" s="74">
        <v>107895419</v>
      </c>
      <c r="I21" s="74">
        <v>125698401</v>
      </c>
    </row>
    <row r="22" spans="1:9">
      <c r="A22" t="s">
        <v>288</v>
      </c>
      <c r="C22" s="76">
        <v>4449114</v>
      </c>
      <c r="D22" s="5"/>
      <c r="E22" s="76">
        <v>3029974</v>
      </c>
      <c r="G22" s="76">
        <v>2816544</v>
      </c>
      <c r="I22" s="76">
        <v>6357655</v>
      </c>
    </row>
    <row r="23" spans="1:9">
      <c r="A23" s="38" t="s">
        <v>289</v>
      </c>
      <c r="C23" s="78">
        <v>144396753</v>
      </c>
      <c r="D23" s="5"/>
      <c r="E23" s="78">
        <v>124345149</v>
      </c>
      <c r="G23" s="78">
        <v>110711963</v>
      </c>
      <c r="I23" s="78">
        <v>132056056</v>
      </c>
    </row>
    <row r="24" spans="1:9">
      <c r="C24" s="79"/>
      <c r="D24" s="5"/>
      <c r="E24" s="79"/>
      <c r="G24" s="79"/>
      <c r="I24" s="79"/>
    </row>
    <row r="25" spans="1:9">
      <c r="A25" s="33" t="s">
        <v>290</v>
      </c>
      <c r="C25" s="5"/>
      <c r="D25" s="5"/>
      <c r="E25" s="5"/>
      <c r="G25" s="5"/>
      <c r="I25" s="5"/>
    </row>
    <row r="26" spans="1:9">
      <c r="A26" t="s">
        <v>291</v>
      </c>
      <c r="C26" s="74">
        <v>73698487</v>
      </c>
      <c r="D26" s="5"/>
      <c r="E26" s="74">
        <v>69778337</v>
      </c>
      <c r="G26" s="74">
        <v>32110088</v>
      </c>
      <c r="I26" s="74">
        <v>30729675</v>
      </c>
    </row>
    <row r="27" spans="1:9">
      <c r="A27" t="s">
        <v>292</v>
      </c>
      <c r="C27" s="75">
        <v>37264900</v>
      </c>
      <c r="D27" s="5"/>
      <c r="E27" s="75">
        <v>17256000</v>
      </c>
      <c r="G27" s="75">
        <v>7623075</v>
      </c>
      <c r="I27" s="75">
        <v>16238275</v>
      </c>
    </row>
    <row r="28" spans="1:9">
      <c r="A28" t="s">
        <v>293</v>
      </c>
      <c r="C28" s="76">
        <v>120495038</v>
      </c>
      <c r="D28" s="5"/>
      <c r="E28" s="76">
        <v>110076688</v>
      </c>
      <c r="G28" s="76">
        <v>65484575</v>
      </c>
      <c r="I28" s="76">
        <v>69711838</v>
      </c>
    </row>
    <row r="29" spans="1:9">
      <c r="A29" s="38" t="s">
        <v>290</v>
      </c>
      <c r="C29" s="78">
        <v>231458425</v>
      </c>
      <c r="D29" s="5"/>
      <c r="E29" s="78">
        <v>197111025</v>
      </c>
      <c r="G29" s="78">
        <v>105217738</v>
      </c>
      <c r="I29" s="78">
        <v>116679788</v>
      </c>
    </row>
    <row r="30" spans="1:9">
      <c r="A30" s="38" t="s">
        <v>294</v>
      </c>
      <c r="C30" s="77">
        <v>388610901</v>
      </c>
      <c r="D30" s="5"/>
      <c r="E30" s="73">
        <v>303760456</v>
      </c>
      <c r="G30" s="77">
        <v>266263405</v>
      </c>
      <c r="I30" s="77">
        <v>224085265</v>
      </c>
    </row>
    <row r="31" spans="1:9">
      <c r="A31" s="38" t="s">
        <v>295</v>
      </c>
      <c r="C31" s="73">
        <v>2345893915</v>
      </c>
      <c r="D31" s="5"/>
      <c r="E31" s="73">
        <v>2141891201</v>
      </c>
      <c r="G31" s="73">
        <v>1883321885</v>
      </c>
      <c r="I31" s="73">
        <v>1669556205</v>
      </c>
    </row>
    <row r="32" spans="1:9">
      <c r="C32" s="79"/>
      <c r="D32" s="5"/>
      <c r="E32" s="79"/>
      <c r="G32" s="79"/>
      <c r="I32" s="79"/>
    </row>
    <row r="33" spans="1:9">
      <c r="A33" s="33" t="s">
        <v>296</v>
      </c>
      <c r="C33" s="5"/>
      <c r="D33" s="5"/>
      <c r="E33" s="5"/>
      <c r="G33" s="5"/>
      <c r="I33" s="5"/>
    </row>
    <row r="34" spans="1:9">
      <c r="A34" s="38" t="s">
        <v>297</v>
      </c>
      <c r="C34" s="73">
        <v>415322248</v>
      </c>
      <c r="D34" s="5"/>
      <c r="E34" s="73">
        <v>342825915</v>
      </c>
      <c r="G34" s="73">
        <v>279322811</v>
      </c>
      <c r="I34" s="73">
        <v>260917929</v>
      </c>
    </row>
    <row r="35" spans="1:9">
      <c r="A35" s="38" t="s">
        <v>298</v>
      </c>
      <c r="C35" s="73">
        <v>2345893915</v>
      </c>
      <c r="D35" s="5"/>
      <c r="E35" s="73">
        <v>2141891201</v>
      </c>
      <c r="G35" s="73">
        <v>1883321885</v>
      </c>
      <c r="I35" s="73">
        <v>1669556205</v>
      </c>
    </row>
    <row r="36" spans="1:9">
      <c r="A36" s="38" t="s">
        <v>299</v>
      </c>
      <c r="C36" s="80">
        <v>0.17699999999999999</v>
      </c>
      <c r="D36" s="72"/>
      <c r="E36" s="80">
        <v>0.16009999999999999</v>
      </c>
      <c r="G36" s="80">
        <v>0.14829999999999999</v>
      </c>
      <c r="I36" s="80">
        <v>0.15629999999999999</v>
      </c>
    </row>
    <row r="38" spans="1:9">
      <c r="A38" s="33" t="s">
        <v>300</v>
      </c>
      <c r="B38" s="72"/>
    </row>
    <row r="39" spans="1:9">
      <c r="A39" t="s">
        <v>301</v>
      </c>
      <c r="C39" s="74">
        <v>14668525</v>
      </c>
      <c r="E39" s="74">
        <v>14668525</v>
      </c>
      <c r="G39" s="74">
        <v>14668525</v>
      </c>
      <c r="I39" s="74">
        <v>14668525</v>
      </c>
    </row>
    <row r="40" spans="1:9">
      <c r="A40" t="s">
        <v>302</v>
      </c>
      <c r="C40" s="75">
        <v>0</v>
      </c>
      <c r="E40" s="75">
        <v>0</v>
      </c>
      <c r="G40" s="75">
        <v>0</v>
      </c>
      <c r="I40" s="75">
        <v>0</v>
      </c>
    </row>
    <row r="41" spans="1:9">
      <c r="A41" t="s">
        <v>303</v>
      </c>
      <c r="C41" s="75">
        <v>0</v>
      </c>
      <c r="E41" s="75">
        <v>0</v>
      </c>
      <c r="G41" s="75">
        <v>0</v>
      </c>
      <c r="I41" s="75">
        <v>0</v>
      </c>
    </row>
    <row r="42" spans="1:9">
      <c r="A42" t="s">
        <v>304</v>
      </c>
      <c r="C42" s="75">
        <v>0</v>
      </c>
      <c r="E42" s="75">
        <v>0</v>
      </c>
      <c r="G42" s="75">
        <v>0</v>
      </c>
      <c r="I42" s="75">
        <v>0</v>
      </c>
    </row>
    <row r="43" spans="1:9">
      <c r="A43" t="s">
        <v>305</v>
      </c>
      <c r="C43" s="75">
        <v>98302935</v>
      </c>
      <c r="E43" s="75">
        <v>50500007</v>
      </c>
      <c r="G43" s="75">
        <v>46044309</v>
      </c>
      <c r="I43" s="75">
        <v>42549449</v>
      </c>
    </row>
    <row r="44" spans="1:9">
      <c r="A44" t="s">
        <v>306</v>
      </c>
      <c r="C44" s="75">
        <v>0</v>
      </c>
      <c r="E44" s="75">
        <v>0</v>
      </c>
      <c r="G44" s="75">
        <v>0</v>
      </c>
      <c r="I44" s="75">
        <v>0</v>
      </c>
    </row>
    <row r="45" spans="1:9">
      <c r="A45" t="s">
        <v>93</v>
      </c>
      <c r="C45" s="75">
        <v>246508577</v>
      </c>
      <c r="E45" s="75">
        <v>221883756</v>
      </c>
      <c r="G45" s="75">
        <v>178467639</v>
      </c>
      <c r="I45" s="75">
        <v>158441418</v>
      </c>
    </row>
    <row r="46" spans="1:9">
      <c r="A46" t="s">
        <v>307</v>
      </c>
      <c r="C46" s="75">
        <v>0</v>
      </c>
      <c r="E46" s="75">
        <v>0</v>
      </c>
      <c r="G46" s="75">
        <v>0</v>
      </c>
      <c r="I46" s="75">
        <v>0</v>
      </c>
    </row>
    <row r="47" spans="1:9">
      <c r="A47" t="s">
        <v>308</v>
      </c>
      <c r="C47" s="75">
        <v>0</v>
      </c>
      <c r="E47" s="75">
        <v>0</v>
      </c>
      <c r="G47" s="75">
        <v>0</v>
      </c>
      <c r="I47" s="75">
        <v>0</v>
      </c>
    </row>
    <row r="48" spans="1:9">
      <c r="A48" t="s">
        <v>309</v>
      </c>
      <c r="C48" s="75">
        <v>1008476</v>
      </c>
      <c r="E48" s="75">
        <v>1937061</v>
      </c>
      <c r="G48" s="75">
        <v>1969443</v>
      </c>
      <c r="I48" s="75">
        <v>2699363</v>
      </c>
    </row>
    <row r="49" spans="1:9">
      <c r="A49" t="s">
        <v>310</v>
      </c>
      <c r="C49" s="75">
        <v>360488513</v>
      </c>
      <c r="E49" s="75">
        <v>288989349</v>
      </c>
      <c r="G49" s="75">
        <v>241149916</v>
      </c>
      <c r="I49" s="75">
        <v>218358755</v>
      </c>
    </row>
    <row r="50" spans="1:9">
      <c r="A50" t="s">
        <v>311</v>
      </c>
      <c r="C50" s="76">
        <v>-44250062</v>
      </c>
      <c r="E50" s="76">
        <v>-41598622</v>
      </c>
      <c r="G50" s="76">
        <v>-37898154</v>
      </c>
      <c r="I50" s="76">
        <v>-25893674</v>
      </c>
    </row>
    <row r="51" spans="1:9">
      <c r="A51" s="39" t="s">
        <v>312</v>
      </c>
      <c r="C51" s="73">
        <v>316238451</v>
      </c>
      <c r="D51" s="8"/>
      <c r="E51" s="73">
        <v>247390727</v>
      </c>
      <c r="F51" s="8"/>
      <c r="G51" s="73">
        <v>203251762</v>
      </c>
      <c r="H51" s="8"/>
      <c r="I51" s="73">
        <v>192465081</v>
      </c>
    </row>
    <row r="52" spans="1:9">
      <c r="A52" s="39"/>
      <c r="C52" s="8"/>
      <c r="D52" s="8"/>
      <c r="E52" s="8"/>
      <c r="F52" s="8"/>
      <c r="G52" s="8"/>
      <c r="H52" s="8"/>
      <c r="I52" s="8"/>
    </row>
    <row r="53" spans="1:9" s="8" customFormat="1">
      <c r="A53" s="33" t="s">
        <v>313</v>
      </c>
      <c r="C53"/>
      <c r="D53"/>
      <c r="E53"/>
      <c r="F53"/>
      <c r="G53"/>
      <c r="H53"/>
      <c r="I53"/>
    </row>
    <row r="54" spans="1:9" s="8" customFormat="1">
      <c r="A54" s="82" t="s">
        <v>314</v>
      </c>
      <c r="C54" s="74">
        <v>18874000</v>
      </c>
      <c r="D54"/>
      <c r="E54" s="74">
        <v>18874000</v>
      </c>
      <c r="F54"/>
      <c r="G54" s="74">
        <v>18874000</v>
      </c>
      <c r="H54"/>
      <c r="I54" s="74">
        <v>12374000</v>
      </c>
    </row>
    <row r="55" spans="1:9">
      <c r="A55" s="28" t="s">
        <v>315</v>
      </c>
      <c r="C55" s="75">
        <v>0</v>
      </c>
      <c r="E55" s="75">
        <v>0</v>
      </c>
      <c r="G55" s="75">
        <v>0</v>
      </c>
      <c r="I55" s="75">
        <v>0</v>
      </c>
    </row>
    <row r="56" spans="1:9">
      <c r="A56" s="28" t="s">
        <v>316</v>
      </c>
      <c r="C56" s="76">
        <v>18874000</v>
      </c>
      <c r="E56" s="76">
        <v>18874000</v>
      </c>
      <c r="G56" s="76">
        <v>18874000</v>
      </c>
      <c r="I56" s="76">
        <v>12374000</v>
      </c>
    </row>
    <row r="57" spans="1:9">
      <c r="A57" s="82" t="s">
        <v>317</v>
      </c>
      <c r="C57" s="74">
        <v>177966</v>
      </c>
      <c r="E57" s="74">
        <v>341834</v>
      </c>
      <c r="G57" s="74">
        <v>328650</v>
      </c>
      <c r="I57" s="74">
        <v>413111</v>
      </c>
    </row>
    <row r="58" spans="1:9">
      <c r="A58" s="28" t="s">
        <v>318</v>
      </c>
      <c r="C58" s="76">
        <v>0</v>
      </c>
      <c r="E58" s="76">
        <v>0</v>
      </c>
      <c r="G58" s="76">
        <v>0</v>
      </c>
      <c r="I58" s="76">
        <v>0</v>
      </c>
    </row>
    <row r="59" spans="1:9">
      <c r="A59" s="82" t="s">
        <v>319</v>
      </c>
      <c r="C59" s="74">
        <v>19051966</v>
      </c>
      <c r="E59" s="74">
        <v>19215834</v>
      </c>
      <c r="G59" s="74">
        <v>19202650</v>
      </c>
      <c r="I59" s="74">
        <v>12787111</v>
      </c>
    </row>
    <row r="60" spans="1:9">
      <c r="A60" s="28" t="s">
        <v>320</v>
      </c>
      <c r="C60" s="75">
        <v>-430613</v>
      </c>
      <c r="E60" s="75">
        <v>-86476</v>
      </c>
      <c r="G60" s="75">
        <v>-109225</v>
      </c>
      <c r="I60" s="75">
        <v>-180351</v>
      </c>
    </row>
    <row r="61" spans="1:9">
      <c r="A61" s="28" t="s">
        <v>321</v>
      </c>
      <c r="C61" s="75">
        <v>0</v>
      </c>
      <c r="E61" s="75">
        <v>0</v>
      </c>
      <c r="G61" s="75">
        <v>0</v>
      </c>
      <c r="I61" s="75">
        <v>0</v>
      </c>
    </row>
    <row r="62" spans="1:9">
      <c r="A62" s="29" t="s">
        <v>322</v>
      </c>
      <c r="C62" s="76">
        <v>18621353</v>
      </c>
      <c r="E62" s="76">
        <v>19129359</v>
      </c>
      <c r="G62" s="76">
        <v>19093425</v>
      </c>
      <c r="I62" s="76">
        <v>12606759</v>
      </c>
    </row>
    <row r="63" spans="1:9">
      <c r="A63" s="38" t="s">
        <v>323</v>
      </c>
      <c r="C63" s="78">
        <v>334859804</v>
      </c>
      <c r="D63" s="8"/>
      <c r="E63" s="78">
        <v>266520086</v>
      </c>
      <c r="F63" s="8"/>
      <c r="G63" s="78">
        <v>222345187</v>
      </c>
      <c r="H63" s="8"/>
      <c r="I63" s="78">
        <v>205071840</v>
      </c>
    </row>
    <row r="64" spans="1:9">
      <c r="A64" s="8"/>
      <c r="C64" s="8"/>
      <c r="D64" s="8"/>
      <c r="E64" s="8"/>
      <c r="F64" s="8"/>
      <c r="G64" s="8"/>
      <c r="H64" s="8"/>
      <c r="I64" s="8"/>
    </row>
    <row r="65" spans="1:9" s="8" customFormat="1">
      <c r="A65" s="33" t="s">
        <v>324</v>
      </c>
      <c r="C65"/>
      <c r="D65"/>
      <c r="E65"/>
      <c r="F65"/>
      <c r="G65"/>
      <c r="H65"/>
      <c r="I65"/>
    </row>
    <row r="66" spans="1:9" s="8" customFormat="1">
      <c r="A66" t="s">
        <v>325</v>
      </c>
      <c r="C66" s="74">
        <v>1500000</v>
      </c>
      <c r="D66"/>
      <c r="E66" s="74">
        <v>825000</v>
      </c>
      <c r="F66"/>
      <c r="G66" s="74">
        <v>0</v>
      </c>
      <c r="H66"/>
      <c r="I66" s="74">
        <v>0</v>
      </c>
    </row>
    <row r="67" spans="1:9">
      <c r="A67" t="s">
        <v>326</v>
      </c>
      <c r="C67" s="75">
        <v>0</v>
      </c>
      <c r="E67" s="75">
        <v>0</v>
      </c>
      <c r="G67" s="75">
        <v>0</v>
      </c>
      <c r="I67" s="75">
        <v>0</v>
      </c>
    </row>
    <row r="68" spans="1:9">
      <c r="A68" s="27" t="s">
        <v>327</v>
      </c>
      <c r="C68" s="74">
        <v>296611</v>
      </c>
      <c r="E68" s="74">
        <v>569723</v>
      </c>
      <c r="G68" s="74">
        <v>517266</v>
      </c>
      <c r="I68" s="74">
        <v>506005</v>
      </c>
    </row>
    <row r="69" spans="1:9">
      <c r="A69" s="43" t="s">
        <v>328</v>
      </c>
      <c r="C69" s="76">
        <v>0</v>
      </c>
      <c r="E69" s="76">
        <v>0</v>
      </c>
      <c r="G69" s="76">
        <v>0</v>
      </c>
      <c r="I69" s="76">
        <v>0</v>
      </c>
    </row>
    <row r="70" spans="1:9">
      <c r="A70" t="s">
        <v>329</v>
      </c>
      <c r="C70" s="75">
        <v>21572807</v>
      </c>
      <c r="E70" s="75">
        <v>18392219</v>
      </c>
      <c r="G70" s="75">
        <v>13911505</v>
      </c>
      <c r="I70" s="75">
        <v>11008308</v>
      </c>
    </row>
    <row r="71" spans="1:9">
      <c r="A71" s="27" t="s">
        <v>330</v>
      </c>
      <c r="C71" s="74">
        <v>57159757</v>
      </c>
      <c r="E71" s="74">
        <v>25665732</v>
      </c>
      <c r="G71" s="74">
        <v>1028565</v>
      </c>
      <c r="I71" s="74">
        <v>24913722</v>
      </c>
    </row>
    <row r="72" spans="1:9">
      <c r="A72" s="28" t="s">
        <v>331</v>
      </c>
      <c r="C72" s="75">
        <v>42525073</v>
      </c>
      <c r="E72" s="75">
        <v>42947693</v>
      </c>
      <c r="G72" s="75">
        <v>27140972</v>
      </c>
      <c r="I72" s="75">
        <v>27213335</v>
      </c>
    </row>
    <row r="73" spans="1:9">
      <c r="A73" s="28" t="s">
        <v>332</v>
      </c>
      <c r="B73" t="s">
        <v>333</v>
      </c>
      <c r="C73" s="75">
        <v>14634684</v>
      </c>
      <c r="E73" s="75">
        <v>-17281961</v>
      </c>
      <c r="G73" s="75">
        <v>-26112407</v>
      </c>
      <c r="I73" s="75">
        <v>-2299613</v>
      </c>
    </row>
    <row r="74" spans="1:9">
      <c r="A74" s="85" t="s">
        <v>334</v>
      </c>
      <c r="C74" s="84">
        <v>50305150</v>
      </c>
      <c r="E74" s="84"/>
      <c r="G74" s="84">
        <v>41727023</v>
      </c>
      <c r="I74" s="84">
        <v>38826070</v>
      </c>
    </row>
    <row r="75" spans="1:9">
      <c r="A75" s="8" t="s">
        <v>335</v>
      </c>
      <c r="C75" s="77">
        <v>80529175</v>
      </c>
      <c r="D75" s="8"/>
      <c r="E75" s="77">
        <v>95757824</v>
      </c>
      <c r="F75" s="8"/>
      <c r="G75" s="77">
        <v>57184359</v>
      </c>
      <c r="H75" s="8"/>
      <c r="I75" s="77">
        <v>75254105</v>
      </c>
    </row>
    <row r="76" spans="1:9">
      <c r="A76" t="s">
        <v>336</v>
      </c>
      <c r="C76" s="75">
        <v>-66731</v>
      </c>
      <c r="E76" s="75">
        <v>-46808</v>
      </c>
      <c r="G76" s="75">
        <v>-206735</v>
      </c>
      <c r="I76" s="75">
        <v>-380625</v>
      </c>
    </row>
    <row r="77" spans="1:9" s="8" customFormat="1">
      <c r="A77" s="38" t="s">
        <v>337</v>
      </c>
      <c r="C77" s="73">
        <v>80462444</v>
      </c>
      <c r="E77" s="73">
        <v>95711016</v>
      </c>
      <c r="G77" s="73">
        <v>56977624</v>
      </c>
      <c r="I77" s="73">
        <v>74873480</v>
      </c>
    </row>
    <row r="78" spans="1:9">
      <c r="A78" s="27" t="s">
        <v>338</v>
      </c>
      <c r="C78" s="74">
        <v>0</v>
      </c>
      <c r="E78" s="74">
        <v>19405187</v>
      </c>
      <c r="G78" s="74">
        <v>0</v>
      </c>
      <c r="I78" s="74">
        <v>-19027391</v>
      </c>
    </row>
    <row r="79" spans="1:9" s="8" customFormat="1">
      <c r="A79" s="43" t="s">
        <v>339</v>
      </c>
      <c r="C79" s="76">
        <v>80462444</v>
      </c>
      <c r="D79"/>
      <c r="E79" s="76">
        <v>76305829</v>
      </c>
      <c r="F79"/>
      <c r="G79" s="76">
        <v>56977624</v>
      </c>
      <c r="H79"/>
      <c r="I79" s="76">
        <v>55846089</v>
      </c>
    </row>
    <row r="80" spans="1:9">
      <c r="A80" s="27" t="s">
        <v>340</v>
      </c>
      <c r="C80" s="74">
        <v>0</v>
      </c>
      <c r="E80" s="74">
        <v>0</v>
      </c>
      <c r="G80" s="74">
        <v>0</v>
      </c>
      <c r="I80" s="74">
        <v>0</v>
      </c>
    </row>
    <row r="81" spans="1:9">
      <c r="A81" s="43" t="s">
        <v>341</v>
      </c>
      <c r="C81" s="76">
        <v>80462444</v>
      </c>
      <c r="E81" s="76">
        <v>76305829</v>
      </c>
      <c r="G81" s="76">
        <v>56977624</v>
      </c>
      <c r="I81" s="76">
        <v>55846089</v>
      </c>
    </row>
    <row r="82" spans="1:9">
      <c r="A82" s="29" t="s">
        <v>342</v>
      </c>
      <c r="C82" s="78">
        <v>415322248</v>
      </c>
      <c r="D82" s="8"/>
      <c r="E82" s="78">
        <v>342825915</v>
      </c>
      <c r="F82" s="8"/>
      <c r="G82" s="78">
        <v>279322811</v>
      </c>
      <c r="H82" s="8"/>
      <c r="I82" s="78">
        <v>260917929</v>
      </c>
    </row>
    <row r="83" spans="1:9" ht="13.9" customHeight="1">
      <c r="A83" s="38" t="s">
        <v>295</v>
      </c>
      <c r="C83" s="73">
        <v>2345893915</v>
      </c>
      <c r="E83" s="73">
        <v>2141891201</v>
      </c>
      <c r="G83" s="73">
        <v>1883321885</v>
      </c>
      <c r="I83" s="73">
        <v>1669556205</v>
      </c>
    </row>
    <row r="84" spans="1:9" s="8" customFormat="1">
      <c r="C84" s="79"/>
      <c r="D84"/>
      <c r="E84" s="79"/>
      <c r="F84"/>
      <c r="G84" s="79"/>
      <c r="H84"/>
      <c r="I84" s="79"/>
    </row>
    <row r="85" spans="1:9">
      <c r="A85" s="38" t="s">
        <v>60</v>
      </c>
      <c r="C85" s="83">
        <v>0.1348</v>
      </c>
      <c r="D85" s="3">
        <v>0.09</v>
      </c>
      <c r="E85" s="83">
        <v>0.11550000000000001</v>
      </c>
      <c r="F85" s="3">
        <v>0.09</v>
      </c>
      <c r="G85" s="83">
        <v>0.1079</v>
      </c>
      <c r="H85" s="3">
        <v>9.5000000000000001E-2</v>
      </c>
      <c r="I85" s="83">
        <v>0.1153</v>
      </c>
    </row>
    <row r="86" spans="1:9">
      <c r="A86" s="38" t="s">
        <v>61</v>
      </c>
      <c r="C86" s="83">
        <v>0.14269999999999999</v>
      </c>
      <c r="D86" s="3">
        <v>0.105</v>
      </c>
      <c r="E86" s="83">
        <v>0.1244</v>
      </c>
      <c r="F86" s="3">
        <v>0.105</v>
      </c>
      <c r="G86" s="83">
        <v>0.1181</v>
      </c>
      <c r="H86" s="3">
        <v>0.11</v>
      </c>
      <c r="I86" s="83">
        <v>0.12280000000000001</v>
      </c>
    </row>
    <row r="87" spans="1:9">
      <c r="A87" s="38" t="s">
        <v>62</v>
      </c>
      <c r="B87" s="3">
        <v>8.5000000000000006E-2</v>
      </c>
      <c r="C87" s="83">
        <v>0.17699999999999999</v>
      </c>
      <c r="D87" s="3">
        <v>0.13</v>
      </c>
      <c r="E87" s="83">
        <v>0.16009999999999999</v>
      </c>
      <c r="F87" s="3">
        <v>0.13</v>
      </c>
      <c r="G87" s="83">
        <v>0.14829999999999999</v>
      </c>
      <c r="H87" s="3">
        <v>0.13500000000000001</v>
      </c>
      <c r="I87" s="83">
        <v>0.15629999999999999</v>
      </c>
    </row>
    <row r="88" spans="1:9">
      <c r="B88" s="3">
        <v>0.1</v>
      </c>
    </row>
    <row r="89" spans="1:9">
      <c r="A89" s="38" t="s">
        <v>343</v>
      </c>
      <c r="B89" s="3">
        <v>0.125</v>
      </c>
      <c r="C89" s="73">
        <v>334859804</v>
      </c>
      <c r="D89" s="79"/>
      <c r="E89" s="73">
        <v>266520086</v>
      </c>
      <c r="F89" s="79"/>
      <c r="G89" s="73">
        <v>222345187</v>
      </c>
      <c r="H89" s="79"/>
      <c r="I89" s="73">
        <v>205071840</v>
      </c>
    </row>
    <row r="90" spans="1:9">
      <c r="A90" s="38" t="s">
        <v>344</v>
      </c>
      <c r="C90" s="73">
        <v>7184144791</v>
      </c>
      <c r="D90" s="79"/>
      <c r="E90" s="73">
        <v>6158603788</v>
      </c>
      <c r="F90" s="79"/>
      <c r="G90" s="73">
        <v>5292442000</v>
      </c>
      <c r="H90" s="79"/>
      <c r="I90" s="73">
        <v>4687343787</v>
      </c>
    </row>
    <row r="91" spans="1:9">
      <c r="A91" s="38" t="s">
        <v>63</v>
      </c>
      <c r="C91" s="83">
        <v>4.6600000000000003E-2</v>
      </c>
      <c r="D91" s="278"/>
      <c r="E91" s="83">
        <v>4.3299999999999998E-2</v>
      </c>
      <c r="F91" s="278"/>
      <c r="G91" s="83">
        <v>4.2000000000000003E-2</v>
      </c>
      <c r="H91" s="278"/>
      <c r="I91" s="83">
        <v>4.3799999999999999E-2</v>
      </c>
    </row>
    <row r="92" spans="1:9">
      <c r="A92" s="38" t="s">
        <v>345</v>
      </c>
      <c r="C92" s="83">
        <v>0.03</v>
      </c>
      <c r="D92" s="278"/>
      <c r="E92" s="83">
        <v>0.03</v>
      </c>
      <c r="F92" s="278"/>
      <c r="G92" s="83">
        <v>0.03</v>
      </c>
      <c r="H92" s="278"/>
      <c r="I92" s="83">
        <v>0.03</v>
      </c>
    </row>
    <row r="94" spans="1:9" ht="15.6" customHeight="1">
      <c r="A94" s="38" t="s">
        <v>346</v>
      </c>
      <c r="C94" s="73">
        <v>2320570154</v>
      </c>
      <c r="D94" s="79"/>
      <c r="E94" s="73">
        <v>1879073951</v>
      </c>
      <c r="F94" s="79"/>
      <c r="G94" s="73">
        <v>1609446790</v>
      </c>
      <c r="H94" s="79"/>
      <c r="I94" s="73">
        <v>1477650149</v>
      </c>
    </row>
    <row r="95" spans="1:9">
      <c r="A95" s="38" t="s">
        <v>347</v>
      </c>
      <c r="C95" s="73">
        <v>869235371</v>
      </c>
      <c r="D95" s="79"/>
      <c r="E95" s="73">
        <v>693860676</v>
      </c>
      <c r="F95" s="79"/>
      <c r="G95" s="73">
        <v>632560916</v>
      </c>
      <c r="H95" s="79"/>
      <c r="I95" s="73">
        <v>638366023</v>
      </c>
    </row>
    <row r="96" spans="1:9">
      <c r="A96" s="38" t="s">
        <v>348</v>
      </c>
      <c r="C96" s="83">
        <v>2.6697000000000002</v>
      </c>
      <c r="D96" s="278"/>
      <c r="E96" s="83">
        <v>2.7081</v>
      </c>
      <c r="F96" s="278"/>
      <c r="G96" s="83">
        <v>2.5442999999999998</v>
      </c>
      <c r="H96" s="278"/>
      <c r="I96" s="83">
        <v>2.3147000000000002</v>
      </c>
    </row>
    <row r="98" spans="1:9">
      <c r="A98" s="38" t="s">
        <v>349</v>
      </c>
      <c r="C98" s="73">
        <v>4156125272</v>
      </c>
      <c r="D98" s="79"/>
      <c r="E98" s="73">
        <v>4156125272</v>
      </c>
      <c r="F98" s="79"/>
      <c r="G98" s="73">
        <v>3225111950</v>
      </c>
      <c r="H98" s="79"/>
      <c r="I98" s="73">
        <v>3046911457</v>
      </c>
    </row>
    <row r="99" spans="1:9">
      <c r="A99" s="38" t="s">
        <v>350</v>
      </c>
      <c r="C99" s="73">
        <v>2732852018</v>
      </c>
      <c r="D99" s="79"/>
      <c r="E99" s="73">
        <v>2384738674</v>
      </c>
      <c r="F99" s="79"/>
      <c r="G99" s="73">
        <v>2171559048</v>
      </c>
      <c r="H99" s="79"/>
      <c r="I99" s="73">
        <v>1964571726</v>
      </c>
    </row>
    <row r="100" spans="1:9">
      <c r="A100" s="38" t="s">
        <v>65</v>
      </c>
      <c r="C100" s="83">
        <v>1.5207999999999999</v>
      </c>
      <c r="D100" s="278"/>
      <c r="E100" s="83">
        <v>1.5985</v>
      </c>
      <c r="F100" s="278"/>
      <c r="G100" s="83">
        <v>1.4852000000000001</v>
      </c>
      <c r="H100" s="278"/>
      <c r="I100" s="83">
        <v>1.5508999999999999</v>
      </c>
    </row>
    <row r="116" spans="10:13">
      <c r="J116" s="72"/>
      <c r="K116" s="72"/>
    </row>
    <row r="117" spans="10:13">
      <c r="J117" s="72"/>
      <c r="K117" s="72"/>
    </row>
    <row r="118" spans="10:13">
      <c r="J118" s="72"/>
      <c r="K118" s="72"/>
    </row>
    <row r="119" spans="10:13">
      <c r="J119" s="72"/>
      <c r="K119" s="72"/>
    </row>
    <row r="120" spans="10:13">
      <c r="J120" s="72"/>
      <c r="K120" s="72"/>
    </row>
    <row r="121" spans="10:13">
      <c r="J121" s="72"/>
      <c r="K121" s="72"/>
    </row>
    <row r="122" spans="10:13">
      <c r="L122" s="72"/>
      <c r="M122" s="72"/>
    </row>
    <row r="123" spans="10:13">
      <c r="L123" s="72"/>
      <c r="M123" s="72"/>
    </row>
    <row r="124" spans="10:13">
      <c r="L124" s="72"/>
      <c r="M124" s="72"/>
    </row>
    <row r="125" spans="10:13">
      <c r="L125" s="72"/>
      <c r="M125" s="72"/>
    </row>
    <row r="126" spans="10:13">
      <c r="L126" s="72"/>
      <c r="M126" s="72"/>
    </row>
    <row r="127" spans="10:13">
      <c r="L127" s="72"/>
      <c r="M127" s="72"/>
    </row>
    <row r="128" spans="10:13">
      <c r="L128" s="72"/>
      <c r="M128" s="72"/>
    </row>
    <row r="129" spans="2:13">
      <c r="L129" s="72"/>
      <c r="M129" s="72"/>
    </row>
    <row r="130" spans="2:13">
      <c r="L130" s="72"/>
      <c r="M130" s="72"/>
    </row>
    <row r="131" spans="2:13">
      <c r="L131" s="72"/>
      <c r="M131" s="72"/>
    </row>
    <row r="132" spans="2:13">
      <c r="L132" s="72"/>
      <c r="M132" s="72"/>
    </row>
    <row r="133" spans="2:13">
      <c r="L133" s="72"/>
      <c r="M133" s="72"/>
    </row>
    <row r="134" spans="2:13">
      <c r="L134" s="72"/>
      <c r="M134" s="72"/>
    </row>
    <row r="135" spans="2:13">
      <c r="L135" s="72"/>
      <c r="M135" s="72"/>
    </row>
    <row r="136" spans="2:13">
      <c r="L136" s="72"/>
      <c r="M136" s="72"/>
    </row>
    <row r="137" spans="2:13">
      <c r="L137" s="72"/>
      <c r="M137" s="72"/>
    </row>
    <row r="138" spans="2:13">
      <c r="L138" s="72"/>
      <c r="M138" s="72"/>
    </row>
    <row r="139" spans="2:13">
      <c r="L139" s="72"/>
      <c r="M139" s="72"/>
    </row>
    <row r="140" spans="2:13">
      <c r="C140" s="63"/>
      <c r="L140" s="72"/>
      <c r="M140" s="72"/>
    </row>
    <row r="141" spans="2:13">
      <c r="L141" s="72"/>
      <c r="M141" s="72"/>
    </row>
    <row r="142" spans="2:13">
      <c r="B142" s="81"/>
      <c r="L142" s="72"/>
      <c r="M142" s="72"/>
    </row>
    <row r="143" spans="2:13">
      <c r="E143" s="72"/>
      <c r="F143" s="72"/>
      <c r="L143" s="72"/>
      <c r="M143" s="72"/>
    </row>
    <row r="144" spans="2:13">
      <c r="L144" s="72"/>
      <c r="M144" s="72"/>
    </row>
    <row r="145" spans="12:13">
      <c r="L145" s="72"/>
      <c r="M145" s="72"/>
    </row>
    <row r="146" spans="12:13">
      <c r="L146" s="72"/>
      <c r="M146" s="72"/>
    </row>
    <row r="147" spans="12:13">
      <c r="L147" s="72"/>
      <c r="M147" s="72"/>
    </row>
    <row r="148" spans="12:13">
      <c r="L148" s="72"/>
      <c r="M148" s="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FFEC-70EA-4776-8135-775B14066207}">
  <dimension ref="A1:V63"/>
  <sheetViews>
    <sheetView showGridLines="0" workbookViewId="0">
      <pane xSplit="1" ySplit="2" topLeftCell="B3" activePane="bottomRight" state="frozen"/>
      <selection pane="bottomRight" activeCell="D15" sqref="D15"/>
      <selection pane="bottomLeft" activeCell="A3" sqref="A3"/>
      <selection pane="topRight" activeCell="B1" sqref="B1"/>
    </sheetView>
  </sheetViews>
  <sheetFormatPr defaultRowHeight="14.45"/>
  <cols>
    <col min="1" max="1" width="86.28515625" bestFit="1" customWidth="1"/>
    <col min="2" max="2" width="22.42578125" bestFit="1" customWidth="1"/>
    <col min="3" max="3" width="20.28515625" bestFit="1" customWidth="1"/>
    <col min="4" max="4" width="17.85546875" customWidth="1"/>
    <col min="5" max="5" width="22.5703125" bestFit="1" customWidth="1"/>
    <col min="6" max="6" width="20.28515625" bestFit="1" customWidth="1"/>
    <col min="7" max="7" width="14.28515625" bestFit="1" customWidth="1"/>
    <col min="8" max="8" width="14.7109375" customWidth="1"/>
    <col min="9" max="9" width="15.140625" bestFit="1" customWidth="1"/>
    <col min="10" max="10" width="14.85546875" customWidth="1"/>
    <col min="11" max="11" width="14.140625" bestFit="1" customWidth="1"/>
    <col min="12" max="12" width="16.28515625" customWidth="1"/>
    <col min="13" max="13" width="14.140625" bestFit="1" customWidth="1"/>
    <col min="14" max="14" width="13.5703125" customWidth="1"/>
    <col min="15" max="15" width="11.42578125" bestFit="1" customWidth="1"/>
    <col min="16" max="17" width="16.140625" customWidth="1"/>
    <col min="18" max="18" width="14.140625" bestFit="1" customWidth="1"/>
    <col min="19" max="19" width="13.42578125" customWidth="1"/>
    <col min="20" max="20" width="13" customWidth="1"/>
    <col min="21" max="21" width="13.140625" customWidth="1"/>
    <col min="22" max="22" width="12.28515625" customWidth="1"/>
  </cols>
  <sheetData>
    <row r="1" spans="1:22">
      <c r="A1" s="33" t="s">
        <v>0</v>
      </c>
      <c r="B1" s="40"/>
      <c r="C1" s="151"/>
      <c r="D1" s="34" t="s">
        <v>1</v>
      </c>
      <c r="E1" s="41"/>
      <c r="G1" s="34" t="s">
        <v>1</v>
      </c>
      <c r="H1" s="41"/>
      <c r="I1" s="41"/>
      <c r="J1" s="34" t="s">
        <v>1</v>
      </c>
      <c r="K1" s="41"/>
      <c r="L1" s="41"/>
      <c r="M1" s="34" t="s">
        <v>1</v>
      </c>
      <c r="N1" s="41"/>
      <c r="O1" s="41"/>
      <c r="P1" s="34" t="s">
        <v>1</v>
      </c>
      <c r="Q1" s="41"/>
      <c r="S1" s="34" t="s">
        <v>1</v>
      </c>
      <c r="T1" s="41"/>
      <c r="V1" s="34" t="s">
        <v>1</v>
      </c>
    </row>
    <row r="2" spans="1:22">
      <c r="A2" s="33" t="s">
        <v>351</v>
      </c>
      <c r="B2" s="40"/>
      <c r="C2" s="151"/>
      <c r="D2" s="35" t="s">
        <v>3</v>
      </c>
      <c r="E2" s="42"/>
      <c r="G2" s="35">
        <v>24</v>
      </c>
      <c r="H2" s="42"/>
      <c r="I2" s="42"/>
      <c r="J2" s="35">
        <v>23</v>
      </c>
      <c r="K2" s="42"/>
      <c r="L2" s="41"/>
      <c r="M2" s="35">
        <v>22</v>
      </c>
      <c r="N2" s="42"/>
      <c r="O2" s="41"/>
      <c r="P2" s="35">
        <v>21</v>
      </c>
      <c r="Q2" s="42"/>
      <c r="S2" s="35">
        <v>20</v>
      </c>
      <c r="T2" s="42"/>
      <c r="V2" s="35">
        <v>19</v>
      </c>
    </row>
    <row r="3" spans="1:22">
      <c r="A3" t="s">
        <v>222</v>
      </c>
      <c r="C3" s="319" cm="1">
        <f t="array" ref="C3">AVERAGE(
  _xlfn._xlws.FILTER(
    CHOOSE({1,2,3,4,5}, F3, I3, L3, O3, R3),
    ISNUMBER(CHOOSE({1,2,3,4,5}, F3, I3, L3, O3, R3))
  )
)</f>
        <v>3.8845386097391542E-2</v>
      </c>
      <c r="D3" s="74">
        <f>C3*D$15</f>
        <v>729024.4136150491</v>
      </c>
      <c r="E3" s="90"/>
      <c r="F3" s="135">
        <f>G3/G$15</f>
        <v>-6.5052167197098665E-2</v>
      </c>
      <c r="G3" s="74">
        <v>-1730634</v>
      </c>
      <c r="H3" s="90"/>
      <c r="I3" s="135">
        <f>J3/J$15</f>
        <v>-1.3878114508013439E-2</v>
      </c>
      <c r="J3" s="74">
        <v>-184104</v>
      </c>
      <c r="K3" s="241"/>
      <c r="L3" s="135">
        <f>M3/M$15</f>
        <v>0.45411654490146564</v>
      </c>
      <c r="M3" s="74">
        <v>3851708</v>
      </c>
      <c r="N3" s="241"/>
      <c r="O3" s="135">
        <f>P3/P$15</f>
        <v>-0.15564568532249798</v>
      </c>
      <c r="P3" s="27">
        <v>-1258723</v>
      </c>
      <c r="R3" s="135">
        <f>S3/S$15</f>
        <v>-2.5313647386897817E-2</v>
      </c>
      <c r="S3" s="74">
        <v>-309323</v>
      </c>
      <c r="T3" s="90"/>
      <c r="U3" s="135">
        <f>V3/V$15</f>
        <v>0.16688970486840846</v>
      </c>
      <c r="V3" s="74">
        <v>553086</v>
      </c>
    </row>
    <row r="4" spans="1:22" s="8" customFormat="1">
      <c r="A4" s="8" t="s">
        <v>352</v>
      </c>
      <c r="C4" s="319" cm="1">
        <f t="array" ref="C4">AVERAGE(
  _xlfn._xlws.FILTER(
    CHOOSE({1,2,3,4,5}, F4, I4, L4, O4, R4),
    ISNUMBER(CHOOSE({1,2,3,4,5}, F4, I4, L4, O4, R4))
  )
)</f>
        <v>0.88429675170443756</v>
      </c>
      <c r="D4" s="77">
        <f>D38</f>
        <v>16595894.278324855</v>
      </c>
      <c r="E4" s="91"/>
      <c r="F4" s="135">
        <f>G4/G$15</f>
        <v>0.77313008106703007</v>
      </c>
      <c r="G4" s="77">
        <v>20568188</v>
      </c>
      <c r="H4" s="91"/>
      <c r="I4" s="135">
        <f>J4/J$15</f>
        <v>1.0153343425968426</v>
      </c>
      <c r="J4" s="77">
        <v>13469201</v>
      </c>
      <c r="K4" s="79"/>
      <c r="L4" s="135">
        <f>M4/M$15</f>
        <v>0.70075789685656076</v>
      </c>
      <c r="M4" s="77">
        <v>5943661</v>
      </c>
      <c r="N4" s="79"/>
      <c r="O4" s="135">
        <f>P4/P$15</f>
        <v>0.94533754662515201</v>
      </c>
      <c r="P4" s="77">
        <v>7645044</v>
      </c>
      <c r="Q4" s="91"/>
      <c r="R4" s="135">
        <f>S4/S$15</f>
        <v>0.98692389137660164</v>
      </c>
      <c r="S4" s="77">
        <v>12059829</v>
      </c>
      <c r="T4" s="91"/>
      <c r="U4" s="135">
        <f>V4/V$15</f>
        <v>1.0187134834664573</v>
      </c>
      <c r="V4" s="77">
        <v>3376099</v>
      </c>
    </row>
    <row r="5" spans="1:22">
      <c r="A5" t="s">
        <v>353</v>
      </c>
      <c r="C5" s="319" cm="1">
        <f t="array" ref="C5">AVERAGE(
  _xlfn._xlws.FILTER(
    CHOOSE({1,2,3,4,5}, F5, I5, L5, O5, R5),
    ISNUMBER(CHOOSE({1,2,3,4,5}, F5, I5, L5, O5, R5))
  )
)</f>
        <v>5.7427914304080089E-5</v>
      </c>
      <c r="D5" s="75">
        <f t="shared" ref="D5:D14" si="0">C5*D$15</f>
        <v>1077.7689645226255</v>
      </c>
      <c r="E5" s="90"/>
      <c r="F5" s="135">
        <f t="shared" ref="F5:F14" si="1">G5/G$15</f>
        <v>2.8713957152040045E-4</v>
      </c>
      <c r="G5" s="75">
        <v>7639</v>
      </c>
      <c r="H5" s="90"/>
      <c r="I5" s="135">
        <f t="shared" ref="I5:I14" si="2">J5/J$15</f>
        <v>0</v>
      </c>
      <c r="J5" s="75">
        <v>0</v>
      </c>
      <c r="K5" s="241"/>
      <c r="L5" s="135">
        <f t="shared" ref="L5:L14" si="3">M5/M$15</f>
        <v>0</v>
      </c>
      <c r="M5" s="75">
        <v>0</v>
      </c>
      <c r="N5" s="241"/>
      <c r="O5" s="135">
        <f t="shared" ref="O5:O14" si="4">P5/P$15</f>
        <v>0</v>
      </c>
      <c r="P5" s="75">
        <v>0</v>
      </c>
      <c r="Q5" s="90"/>
      <c r="R5" s="135">
        <f t="shared" ref="R5:R14" si="5">S5/S$15</f>
        <v>0</v>
      </c>
      <c r="S5" s="75">
        <v>0</v>
      </c>
      <c r="T5" s="90"/>
      <c r="U5" s="135">
        <f t="shared" ref="U5:U14" si="6">V5/V$15</f>
        <v>0</v>
      </c>
      <c r="V5" s="75">
        <v>0</v>
      </c>
    </row>
    <row r="6" spans="1:22">
      <c r="A6" t="s">
        <v>224</v>
      </c>
      <c r="C6" s="319" cm="1">
        <f t="array" ref="C6">AVERAGE(
  _xlfn._xlws.FILTER(
    CHOOSE({1,2,3,4,5}, F6, I6, L6, O6, R6),
    ISNUMBER(CHOOSE({1,2,3,4,5}, F6, I6, L6, O6, R6))
  )
)</f>
        <v>-9.0964493137762679E-6</v>
      </c>
      <c r="D6" s="75">
        <f t="shared" si="0"/>
        <v>-170.71612083680807</v>
      </c>
      <c r="E6" s="90"/>
      <c r="F6" s="135">
        <f t="shared" si="1"/>
        <v>-4.5482246568881343E-5</v>
      </c>
      <c r="G6" s="75">
        <v>-1210</v>
      </c>
      <c r="H6" s="90"/>
      <c r="I6" s="135">
        <f t="shared" si="2"/>
        <v>0</v>
      </c>
      <c r="J6" s="75">
        <v>0</v>
      </c>
      <c r="K6" s="241"/>
      <c r="L6" s="135">
        <f t="shared" si="3"/>
        <v>0</v>
      </c>
      <c r="M6" s="75">
        <v>0</v>
      </c>
      <c r="N6" s="241"/>
      <c r="O6" s="135">
        <f t="shared" si="4"/>
        <v>0</v>
      </c>
      <c r="P6" s="75">
        <v>0</v>
      </c>
      <c r="Q6" s="90"/>
      <c r="R6" s="135">
        <f t="shared" si="5"/>
        <v>0</v>
      </c>
      <c r="S6" s="75">
        <v>0</v>
      </c>
      <c r="T6" s="90"/>
      <c r="U6" s="135">
        <f t="shared" si="6"/>
        <v>0</v>
      </c>
      <c r="V6" s="75">
        <v>0</v>
      </c>
    </row>
    <row r="7" spans="1:22">
      <c r="A7" t="s">
        <v>226</v>
      </c>
      <c r="C7" s="319" cm="1">
        <f t="array" ref="C7">AVERAGE(
  _xlfn._xlws.FILTER(
    CHOOSE({1,2,3,4,5}, F7, I7, L7, O7, R7),
    ISNUMBER(CHOOSE({1,2,3,4,5}, F7, I7, L7, O7, R7))
  )
)</f>
        <v>6.4986231432466512E-2</v>
      </c>
      <c r="D7" s="75">
        <f t="shared" si="0"/>
        <v>1219618.4417970579</v>
      </c>
      <c r="E7" s="90"/>
      <c r="F7" s="135">
        <f t="shared" si="1"/>
        <v>8.7977249254025378E-2</v>
      </c>
      <c r="G7" s="75">
        <v>2340528</v>
      </c>
      <c r="H7" s="90"/>
      <c r="I7" s="135">
        <f t="shared" si="2"/>
        <v>8.5989446982344578E-2</v>
      </c>
      <c r="J7" s="75">
        <v>1140717</v>
      </c>
      <c r="K7" s="241"/>
      <c r="L7" s="135">
        <f t="shared" si="3"/>
        <v>7.3598395427553309E-2</v>
      </c>
      <c r="M7" s="75">
        <v>624244</v>
      </c>
      <c r="N7" s="241"/>
      <c r="O7" s="135">
        <f t="shared" si="4"/>
        <v>2.351100919303014E-2</v>
      </c>
      <c r="P7" s="75">
        <v>190136</v>
      </c>
      <c r="Q7" s="90"/>
      <c r="R7" s="135">
        <f t="shared" si="5"/>
        <v>5.3855056305379206E-2</v>
      </c>
      <c r="S7" s="75">
        <v>658088</v>
      </c>
      <c r="T7" s="90"/>
      <c r="U7" s="135">
        <f t="shared" si="6"/>
        <v>2.722293148538011E-2</v>
      </c>
      <c r="V7" s="75">
        <v>90219</v>
      </c>
    </row>
    <row r="8" spans="1:22">
      <c r="A8" t="s">
        <v>227</v>
      </c>
      <c r="C8" s="319" cm="1">
        <f t="array" ref="C8">AVERAGE(
  _xlfn._xlws.FILTER(
    CHOOSE({1,2,3,4,5}, F8, I8, L8, O8, R8),
    ISNUMBER(CHOOSE({1,2,3,4,5}, F8, I8, L8, O8, R8))
  )
)</f>
        <v>4.6210451048723553E-2</v>
      </c>
      <c r="D8" s="75">
        <f t="shared" si="0"/>
        <v>867247.06234660884</v>
      </c>
      <c r="E8" s="90"/>
      <c r="F8" s="135">
        <f t="shared" si="1"/>
        <v>0.17314474815183267</v>
      </c>
      <c r="G8" s="75">
        <v>4606306</v>
      </c>
      <c r="H8" s="90"/>
      <c r="I8" s="135">
        <f t="shared" si="2"/>
        <v>-7.0776092380251477E-3</v>
      </c>
      <c r="J8" s="75">
        <v>-93890</v>
      </c>
      <c r="K8" s="241"/>
      <c r="L8" s="135">
        <f t="shared" si="3"/>
        <v>-0.15699393085940525</v>
      </c>
      <c r="M8" s="75">
        <v>-1331585</v>
      </c>
      <c r="N8" s="241"/>
      <c r="O8" s="135">
        <f t="shared" si="4"/>
        <v>0.19048942730433202</v>
      </c>
      <c r="P8" s="75">
        <v>1540508</v>
      </c>
      <c r="Q8" s="90"/>
      <c r="R8" s="135">
        <f t="shared" si="5"/>
        <v>3.1489619884883434E-2</v>
      </c>
      <c r="S8" s="75">
        <v>384791</v>
      </c>
      <c r="T8" s="90"/>
      <c r="U8" s="135">
        <f t="shared" si="6"/>
        <v>-1.4855702078494763E-2</v>
      </c>
      <c r="V8" s="75">
        <v>-49233</v>
      </c>
    </row>
    <row r="9" spans="1:22">
      <c r="A9" t="s">
        <v>354</v>
      </c>
      <c r="C9" s="319" cm="1">
        <f t="array" ref="C9">AVERAGE(
  _xlfn._xlws.FILTER(
    CHOOSE({1,2,3,4,5}, F9, I9, L9, O9, R9),
    ISNUMBER(CHOOSE({1,2,3,4,5}, F9, I9, L9, O9, R9))
  )
)</f>
        <v>-7.5528922663722797E-2</v>
      </c>
      <c r="D9" s="75">
        <f t="shared" si="0"/>
        <v>-1417476.6706616499</v>
      </c>
      <c r="E9" s="90"/>
      <c r="F9" s="135">
        <f t="shared" si="1"/>
        <v>-2.94965149134595E-2</v>
      </c>
      <c r="G9" s="75">
        <v>-784719</v>
      </c>
      <c r="H9" s="90"/>
      <c r="I9" s="135">
        <f t="shared" si="2"/>
        <v>-8.7233851852951863E-2</v>
      </c>
      <c r="J9" s="75">
        <v>-1157225</v>
      </c>
      <c r="K9" s="241"/>
      <c r="L9" s="135">
        <f t="shared" si="3"/>
        <v>-0.10681343178615856</v>
      </c>
      <c r="M9" s="75">
        <v>-905966</v>
      </c>
      <c r="N9" s="241"/>
      <c r="O9" s="135">
        <f t="shared" si="4"/>
        <v>-0.10421355973491132</v>
      </c>
      <c r="P9" s="75">
        <v>-842786</v>
      </c>
      <c r="Q9" s="90"/>
      <c r="R9" s="135">
        <f t="shared" si="5"/>
        <v>-4.9887255031132734E-2</v>
      </c>
      <c r="S9" s="75">
        <v>-609603</v>
      </c>
      <c r="T9" s="90"/>
      <c r="U9" s="135">
        <f t="shared" si="6"/>
        <v>-0.18505703391075837</v>
      </c>
      <c r="V9" s="75">
        <v>-613294</v>
      </c>
    </row>
    <row r="10" spans="1:22">
      <c r="A10" t="s">
        <v>355</v>
      </c>
      <c r="C10" s="319" cm="1">
        <f t="array" ref="C10">AVERAGE(
  _xlfn._xlws.FILTER(
    CHOOSE({1,2,3,4,5}, F10, I10, L10, O10, R10),
    ISNUMBER(CHOOSE({1,2,3,4,5}, F10, I10, L10, O10, R10))
  )
)</f>
        <v>-1.5889517194993027E-3</v>
      </c>
      <c r="D10" s="75">
        <f t="shared" si="0"/>
        <v>-29820.390835255163</v>
      </c>
      <c r="E10" s="90"/>
      <c r="F10" s="135">
        <f t="shared" si="1"/>
        <v>-6.6644647245145969E-5</v>
      </c>
      <c r="G10" s="75">
        <v>-1773</v>
      </c>
      <c r="H10" s="90"/>
      <c r="I10" s="135">
        <f t="shared" si="2"/>
        <v>-1.1323873253127465E-3</v>
      </c>
      <c r="J10" s="75">
        <v>-15022</v>
      </c>
      <c r="K10" s="241"/>
      <c r="L10" s="135">
        <f t="shared" si="3"/>
        <v>-2.1328118064161441E-4</v>
      </c>
      <c r="M10" s="75">
        <v>-1809</v>
      </c>
      <c r="N10" s="241"/>
      <c r="O10" s="135">
        <f t="shared" si="4"/>
        <v>-1.3260616747278538E-3</v>
      </c>
      <c r="P10" s="75">
        <v>-10724</v>
      </c>
      <c r="Q10" s="90"/>
      <c r="R10" s="135">
        <f t="shared" si="5"/>
        <v>-5.2063837695691534E-3</v>
      </c>
      <c r="S10" s="75">
        <v>-63620</v>
      </c>
      <c r="T10" s="90"/>
      <c r="U10" s="135">
        <f t="shared" si="6"/>
        <v>-1.2913383830992664E-2</v>
      </c>
      <c r="V10" s="75">
        <v>-42796</v>
      </c>
    </row>
    <row r="11" spans="1:22">
      <c r="A11" t="s">
        <v>356</v>
      </c>
      <c r="C11" s="319" cm="1">
        <f t="array" ref="C11">AVERAGE(
  _xlfn._xlws.FILTER(
    CHOOSE({1,2,3,4,5}, F11, I11, L11, O11, R11),
    ISNUMBER(CHOOSE({1,2,3,4,5}, F11, I11, L11, O11, R11))
  )
)</f>
        <v>3.3102327718015287E-3</v>
      </c>
      <c r="D11" s="75">
        <f t="shared" si="0"/>
        <v>62124.250724179998</v>
      </c>
      <c r="E11" s="90"/>
      <c r="F11" s="135">
        <f t="shared" si="1"/>
        <v>0</v>
      </c>
      <c r="G11" s="75"/>
      <c r="H11" s="90"/>
      <c r="I11" s="135">
        <f t="shared" si="2"/>
        <v>0</v>
      </c>
      <c r="J11" s="75"/>
      <c r="K11" s="241"/>
      <c r="L11" s="135">
        <f t="shared" si="3"/>
        <v>0</v>
      </c>
      <c r="M11" s="75"/>
      <c r="N11" s="241"/>
      <c r="O11" s="135">
        <f t="shared" si="4"/>
        <v>1.6551163859007643E-2</v>
      </c>
      <c r="P11" s="75">
        <v>133851</v>
      </c>
      <c r="Q11" s="90"/>
      <c r="R11" s="135">
        <f t="shared" si="5"/>
        <v>0</v>
      </c>
      <c r="S11" s="75">
        <v>0</v>
      </c>
      <c r="T11" s="90"/>
      <c r="U11" s="135">
        <f t="shared" si="6"/>
        <v>0</v>
      </c>
      <c r="V11" s="75">
        <v>0</v>
      </c>
    </row>
    <row r="12" spans="1:22">
      <c r="A12" t="s">
        <v>357</v>
      </c>
      <c r="C12" s="319" cm="1">
        <f t="array" ref="C12">AVERAGE(
  _xlfn._xlws.FILTER(
    CHOOSE({1,2,3,4,5}, F12, I12, L12, O12, R12),
    ISNUMBER(CHOOSE({1,2,3,4,5}, F12, I12, L12, O12, R12))
  )
)</f>
        <v>5.491834677521663E-3</v>
      </c>
      <c r="D12" s="75">
        <f t="shared" si="0"/>
        <v>103067.10674501106</v>
      </c>
      <c r="E12" s="90"/>
      <c r="F12" s="135">
        <f t="shared" si="1"/>
        <v>2.7459173387608313E-2</v>
      </c>
      <c r="G12" s="75">
        <v>730518</v>
      </c>
      <c r="H12" s="90"/>
      <c r="I12" s="135">
        <f t="shared" si="2"/>
        <v>0</v>
      </c>
      <c r="J12" s="75">
        <v>0</v>
      </c>
      <c r="K12" s="241"/>
      <c r="L12" s="135">
        <f t="shared" si="3"/>
        <v>0</v>
      </c>
      <c r="M12" s="75"/>
      <c r="N12" s="241"/>
      <c r="O12" s="135">
        <f t="shared" si="4"/>
        <v>0</v>
      </c>
      <c r="P12" s="75"/>
      <c r="Q12" s="90"/>
      <c r="R12" s="135">
        <f t="shared" si="5"/>
        <v>0</v>
      </c>
      <c r="S12" s="75">
        <v>0</v>
      </c>
      <c r="T12" s="90"/>
      <c r="U12" s="135">
        <f t="shared" si="6"/>
        <v>0</v>
      </c>
      <c r="V12" s="75">
        <v>0</v>
      </c>
    </row>
    <row r="13" spans="1:22">
      <c r="A13" t="s">
        <v>358</v>
      </c>
      <c r="C13" s="319" cm="1">
        <f t="array" ref="C13">AVERAGE(
  _xlfn._xlws.FILTER(
    CHOOSE({1,2,3,4,5}, F13, I13, L13, O13, R13),
    ISNUMBER(CHOOSE({1,2,3,4,5}, F13, I13, L13, O13, R13))
  )
)</f>
        <v>3.0296016013989551E-2</v>
      </c>
      <c r="D13" s="75">
        <f t="shared" si="0"/>
        <v>568575.51252281084</v>
      </c>
      <c r="E13" s="90"/>
      <c r="F13" s="135">
        <f t="shared" si="1"/>
        <v>3.2662417572355391E-2</v>
      </c>
      <c r="G13" s="75">
        <v>868944</v>
      </c>
      <c r="H13" s="90"/>
      <c r="I13" s="135">
        <f t="shared" si="2"/>
        <v>7.998173345116032E-3</v>
      </c>
      <c r="J13" s="75">
        <v>106102</v>
      </c>
      <c r="K13" s="241"/>
      <c r="L13" s="135">
        <f t="shared" si="3"/>
        <v>3.5547806640625693E-2</v>
      </c>
      <c r="M13" s="75">
        <v>301508</v>
      </c>
      <c r="N13" s="241"/>
      <c r="O13" s="135">
        <f t="shared" si="4"/>
        <v>7.5271682511850652E-2</v>
      </c>
      <c r="P13" s="75">
        <v>608730</v>
      </c>
      <c r="Q13" s="90"/>
      <c r="R13" s="135">
        <f t="shared" si="5"/>
        <v>0</v>
      </c>
      <c r="S13" s="75">
        <v>0</v>
      </c>
      <c r="T13" s="90"/>
      <c r="U13" s="135">
        <f t="shared" si="6"/>
        <v>0</v>
      </c>
      <c r="V13" s="75">
        <v>0</v>
      </c>
    </row>
    <row r="14" spans="1:22">
      <c r="A14" t="s">
        <v>359</v>
      </c>
      <c r="C14" s="319" cm="1">
        <f t="array" ref="C14">AVERAGE(
  _xlfn._xlws.FILTER(
    CHOOSE({1,2,3,4,5}, F14, I14, L14, O14, R14),
    ISNUMBER(CHOOSE({1,2,3,4,5}, F14, I14, L14, O14, R14))
  )
)</f>
        <v>3.6326391719000315E-3</v>
      </c>
      <c r="D14" s="76">
        <f t="shared" si="0"/>
        <v>68174.959968986106</v>
      </c>
      <c r="E14" s="90"/>
      <c r="F14" s="135">
        <f t="shared" si="1"/>
        <v>0</v>
      </c>
      <c r="G14" s="76">
        <v>0</v>
      </c>
      <c r="H14" s="90"/>
      <c r="I14" s="135">
        <f t="shared" si="2"/>
        <v>0</v>
      </c>
      <c r="J14" s="76">
        <v>0</v>
      </c>
      <c r="K14" s="241"/>
      <c r="L14" s="135">
        <f t="shared" si="3"/>
        <v>0</v>
      </c>
      <c r="M14" s="76"/>
      <c r="N14" s="241"/>
      <c r="O14" s="135">
        <f t="shared" si="4"/>
        <v>1.0024477238764675E-2</v>
      </c>
      <c r="P14" s="76">
        <v>81069</v>
      </c>
      <c r="Q14" s="90"/>
      <c r="R14" s="135">
        <f t="shared" si="5"/>
        <v>8.1387186207354835E-3</v>
      </c>
      <c r="S14" s="76">
        <v>99452</v>
      </c>
      <c r="T14" s="90"/>
      <c r="U14" s="135">
        <f t="shared" si="6"/>
        <v>0</v>
      </c>
      <c r="V14" s="76">
        <v>0</v>
      </c>
    </row>
    <row r="15" spans="1:22" s="8" customFormat="1">
      <c r="A15" s="8" t="s">
        <v>112</v>
      </c>
      <c r="D15" s="73">
        <f>D4/C4</f>
        <v>18767336.017391339</v>
      </c>
      <c r="E15" s="91"/>
      <c r="G15" s="73">
        <v>26603787</v>
      </c>
      <c r="H15" s="91"/>
      <c r="I15" s="46"/>
      <c r="J15" s="73">
        <v>13265779</v>
      </c>
      <c r="K15" s="79"/>
      <c r="M15" s="73">
        <v>8481761</v>
      </c>
      <c r="N15" s="79"/>
      <c r="P15" s="73">
        <v>8087105</v>
      </c>
      <c r="Q15" s="91"/>
      <c r="S15" s="73">
        <v>12219614</v>
      </c>
      <c r="T15" s="91"/>
      <c r="V15" s="73">
        <v>3314081</v>
      </c>
    </row>
    <row r="18" spans="1:22">
      <c r="B18" t="s">
        <v>360</v>
      </c>
      <c r="C18" t="s">
        <v>361</v>
      </c>
      <c r="D18" t="s">
        <v>112</v>
      </c>
      <c r="E18" t="s">
        <v>360</v>
      </c>
      <c r="F18" t="s">
        <v>361</v>
      </c>
      <c r="G18" t="s">
        <v>112</v>
      </c>
      <c r="H18" t="s">
        <v>360</v>
      </c>
      <c r="I18" t="s">
        <v>361</v>
      </c>
      <c r="J18" t="s">
        <v>112</v>
      </c>
      <c r="K18" t="s">
        <v>360</v>
      </c>
      <c r="L18" t="s">
        <v>361</v>
      </c>
      <c r="M18" t="s">
        <v>112</v>
      </c>
      <c r="N18" t="s">
        <v>360</v>
      </c>
      <c r="O18" t="s">
        <v>361</v>
      </c>
      <c r="P18" t="s">
        <v>112</v>
      </c>
      <c r="Q18" t="s">
        <v>360</v>
      </c>
      <c r="R18" t="s">
        <v>361</v>
      </c>
      <c r="S18" t="s">
        <v>112</v>
      </c>
      <c r="T18" t="s">
        <v>360</v>
      </c>
      <c r="U18" t="s">
        <v>361</v>
      </c>
      <c r="V18" t="s">
        <v>112</v>
      </c>
    </row>
    <row r="19" spans="1:22">
      <c r="A19" t="s">
        <v>362</v>
      </c>
      <c r="B19" s="294"/>
      <c r="C19" s="294"/>
      <c r="D19" s="294"/>
      <c r="E19" s="295"/>
      <c r="F19" s="295"/>
      <c r="G19" s="295"/>
      <c r="H19" s="88">
        <v>78259477</v>
      </c>
      <c r="I19" s="5">
        <v>13911505</v>
      </c>
      <c r="J19" s="5">
        <v>92170982</v>
      </c>
      <c r="K19" s="5">
        <v>72845186</v>
      </c>
      <c r="L19" s="5">
        <v>11008308</v>
      </c>
      <c r="M19" s="5">
        <v>83853494</v>
      </c>
      <c r="N19" s="5">
        <v>70835763</v>
      </c>
      <c r="O19" s="5">
        <v>11063284</v>
      </c>
      <c r="P19" s="5">
        <v>81899047</v>
      </c>
      <c r="Q19" s="88">
        <v>72634967</v>
      </c>
      <c r="R19" s="5">
        <v>3730991</v>
      </c>
      <c r="S19" s="5">
        <v>76365958</v>
      </c>
      <c r="T19" s="88">
        <v>68465249</v>
      </c>
      <c r="U19" s="5">
        <v>3528347</v>
      </c>
      <c r="V19" s="5">
        <v>71993596</v>
      </c>
    </row>
    <row r="20" spans="1:22">
      <c r="A20" t="s">
        <v>363</v>
      </c>
      <c r="B20" s="294"/>
      <c r="C20" s="294"/>
      <c r="D20" s="294"/>
      <c r="E20" s="295"/>
      <c r="F20" s="295"/>
      <c r="G20" s="295"/>
      <c r="H20" s="88">
        <v>8019828</v>
      </c>
      <c r="I20" s="5">
        <v>831237</v>
      </c>
      <c r="J20" s="5">
        <v>8851065</v>
      </c>
      <c r="K20" s="5">
        <v>7453225</v>
      </c>
      <c r="L20" s="5">
        <v>691606</v>
      </c>
      <c r="M20" s="5">
        <v>8144831</v>
      </c>
      <c r="N20" s="5">
        <v>2670248</v>
      </c>
      <c r="O20" s="5">
        <v>222274</v>
      </c>
      <c r="P20" s="5">
        <v>2892522</v>
      </c>
      <c r="Q20" s="88">
        <v>974252</v>
      </c>
      <c r="R20" s="5">
        <v>47701</v>
      </c>
      <c r="S20" s="5">
        <v>1021953</v>
      </c>
      <c r="T20" s="88">
        <v>3108243</v>
      </c>
      <c r="U20" s="5">
        <v>183081</v>
      </c>
      <c r="V20" s="5">
        <v>3291324</v>
      </c>
    </row>
    <row r="21" spans="1:22">
      <c r="A21" t="s">
        <v>364</v>
      </c>
      <c r="B21" s="294"/>
      <c r="C21" s="294"/>
      <c r="D21" s="294"/>
      <c r="E21" s="295"/>
      <c r="F21" s="295"/>
      <c r="G21" s="295"/>
      <c r="H21" s="88">
        <v>16462892</v>
      </c>
      <c r="I21" s="5">
        <v>4857453</v>
      </c>
      <c r="J21" s="5">
        <v>21320345</v>
      </c>
      <c r="K21" s="5">
        <v>10153742</v>
      </c>
      <c r="L21" s="5">
        <v>3341192</v>
      </c>
      <c r="M21" s="5">
        <v>13494934</v>
      </c>
      <c r="N21" s="5">
        <v>12415018</v>
      </c>
      <c r="O21" s="5">
        <v>1613469</v>
      </c>
      <c r="P21" s="5">
        <v>14028487</v>
      </c>
      <c r="Q21" s="88">
        <v>9301182</v>
      </c>
      <c r="R21" s="5">
        <v>7636845</v>
      </c>
      <c r="S21" s="5">
        <v>16938027</v>
      </c>
      <c r="T21" s="88">
        <v>7524537</v>
      </c>
      <c r="U21" s="5">
        <v>528694</v>
      </c>
      <c r="V21" s="5">
        <v>8053231</v>
      </c>
    </row>
    <row r="22" spans="1:22">
      <c r="A22" t="s">
        <v>365</v>
      </c>
      <c r="B22" s="294"/>
      <c r="C22" s="294"/>
      <c r="D22" s="294"/>
      <c r="E22" s="295"/>
      <c r="F22" s="295"/>
      <c r="G22" s="295"/>
      <c r="H22" s="88">
        <v>-6643168</v>
      </c>
      <c r="I22" s="5">
        <v>-1207976</v>
      </c>
      <c r="J22" s="5">
        <v>-7851144</v>
      </c>
      <c r="K22" s="5">
        <v>-6421672</v>
      </c>
      <c r="L22" s="5">
        <v>-1129601</v>
      </c>
      <c r="M22" s="5">
        <v>-7551273</v>
      </c>
      <c r="N22" s="5">
        <v>-4492724</v>
      </c>
      <c r="O22" s="5">
        <v>-1890719</v>
      </c>
      <c r="P22" s="5">
        <v>-6383443</v>
      </c>
      <c r="Q22" s="88">
        <v>-4525945</v>
      </c>
      <c r="R22" s="5">
        <v>-352253</v>
      </c>
      <c r="S22" s="5">
        <v>-4878198</v>
      </c>
      <c r="T22" s="88">
        <v>-4256484</v>
      </c>
      <c r="U22" s="5">
        <v>-420648</v>
      </c>
      <c r="V22" s="5">
        <v>-4677132</v>
      </c>
    </row>
    <row r="23" spans="1:22" s="8" customFormat="1">
      <c r="A23" s="8" t="s">
        <v>366</v>
      </c>
      <c r="B23" s="296"/>
      <c r="C23" s="296"/>
      <c r="D23" s="296"/>
      <c r="E23" s="297"/>
      <c r="F23" s="297"/>
      <c r="G23" s="297"/>
      <c r="H23" s="46">
        <v>9819724</v>
      </c>
      <c r="I23" s="46">
        <v>3649477</v>
      </c>
      <c r="J23" s="46">
        <v>13469201</v>
      </c>
      <c r="K23" s="46">
        <v>3732070</v>
      </c>
      <c r="L23" s="46">
        <v>2211591</v>
      </c>
      <c r="M23" s="46">
        <v>5943661</v>
      </c>
      <c r="N23" s="46">
        <v>7922294</v>
      </c>
      <c r="O23" s="46">
        <v>-277250</v>
      </c>
      <c r="P23" s="46">
        <v>7645044</v>
      </c>
      <c r="Q23" s="89">
        <v>4775237</v>
      </c>
      <c r="R23" s="46">
        <v>7284592</v>
      </c>
      <c r="S23" s="46">
        <v>12059829</v>
      </c>
      <c r="T23" s="89">
        <v>3268053</v>
      </c>
      <c r="U23" s="46">
        <v>108046</v>
      </c>
      <c r="V23" s="46">
        <v>3376099</v>
      </c>
    </row>
    <row r="24" spans="1:22">
      <c r="A24" t="s">
        <v>367</v>
      </c>
      <c r="B24" s="294"/>
      <c r="C24" s="294"/>
      <c r="D24" s="294"/>
      <c r="E24" s="295"/>
      <c r="F24" s="295"/>
      <c r="G24" s="295"/>
      <c r="H24" s="88">
        <v>-503799</v>
      </c>
      <c r="I24" s="5"/>
      <c r="J24" s="5">
        <v>-503799</v>
      </c>
      <c r="K24" s="5">
        <v>-582438</v>
      </c>
      <c r="L24" s="5"/>
      <c r="M24" s="5">
        <v>-582438</v>
      </c>
      <c r="N24" s="5">
        <v>-532280</v>
      </c>
      <c r="O24" s="5"/>
      <c r="P24" s="5">
        <v>-532280</v>
      </c>
      <c r="Q24" s="88">
        <v>-750824</v>
      </c>
      <c r="R24" s="5"/>
      <c r="S24" s="5">
        <v>-750824</v>
      </c>
      <c r="T24" s="88">
        <v>-604496</v>
      </c>
      <c r="U24" s="5"/>
      <c r="V24" s="5">
        <v>-604496</v>
      </c>
    </row>
    <row r="25" spans="1:22">
      <c r="A25" t="s">
        <v>368</v>
      </c>
      <c r="B25" s="294"/>
      <c r="C25" s="294"/>
      <c r="D25" s="294"/>
      <c r="E25" s="295"/>
      <c r="F25" s="295"/>
      <c r="G25" s="295"/>
      <c r="H25" s="88">
        <v>-10675157</v>
      </c>
      <c r="I25" s="5"/>
      <c r="J25" s="5">
        <v>-10675157</v>
      </c>
      <c r="K25" s="5">
        <v>-5333549</v>
      </c>
      <c r="L25" s="5"/>
      <c r="M25" s="5">
        <v>-5333549</v>
      </c>
      <c r="N25" s="5">
        <v>-8050839</v>
      </c>
      <c r="O25" s="5"/>
      <c r="P25" s="5">
        <v>-8050839</v>
      </c>
      <c r="Q25" s="88">
        <v>-6797869</v>
      </c>
      <c r="R25" s="5"/>
      <c r="S25" s="5">
        <v>-6797869</v>
      </c>
      <c r="T25" s="88">
        <v>-1602082</v>
      </c>
      <c r="U25" s="5"/>
      <c r="V25" s="5">
        <v>-1602082</v>
      </c>
    </row>
    <row r="26" spans="1:22">
      <c r="A26" t="s">
        <v>369</v>
      </c>
      <c r="B26" s="294"/>
      <c r="C26" s="294"/>
      <c r="D26" s="294"/>
      <c r="E26" s="295"/>
      <c r="F26" s="295"/>
      <c r="G26" s="295"/>
      <c r="K26" s="5">
        <v>-67880</v>
      </c>
      <c r="L26" s="5"/>
      <c r="M26" s="5">
        <v>-67880</v>
      </c>
      <c r="N26" s="5"/>
      <c r="O26" s="5"/>
      <c r="P26" s="5"/>
    </row>
    <row r="27" spans="1:22">
      <c r="A27" t="s">
        <v>370</v>
      </c>
      <c r="B27" s="294"/>
      <c r="C27" s="294"/>
      <c r="D27" s="294"/>
      <c r="E27" s="295"/>
      <c r="F27" s="295"/>
      <c r="G27" s="295"/>
      <c r="K27" s="5">
        <v>212863</v>
      </c>
      <c r="L27" s="5"/>
      <c r="M27" s="5">
        <v>212863</v>
      </c>
      <c r="N27" s="5"/>
      <c r="O27" s="5"/>
      <c r="P27" s="5"/>
      <c r="Q27" s="88"/>
      <c r="R27" s="5"/>
      <c r="S27" s="5"/>
      <c r="T27" s="88">
        <v>-88483</v>
      </c>
      <c r="U27" s="5"/>
      <c r="V27" s="5">
        <v>-88483</v>
      </c>
    </row>
    <row r="28" spans="1:22">
      <c r="A28" t="s">
        <v>371</v>
      </c>
      <c r="B28" s="294"/>
      <c r="C28" s="294"/>
      <c r="D28" s="294"/>
      <c r="E28" s="294"/>
      <c r="F28" s="294"/>
      <c r="G28" s="294"/>
      <c r="H28" s="88">
        <v>84920073</v>
      </c>
      <c r="I28" s="5">
        <v>18392219</v>
      </c>
      <c r="J28" s="5">
        <v>103312292</v>
      </c>
      <c r="K28" s="5">
        <v>78259477</v>
      </c>
      <c r="L28" s="5">
        <v>13911505</v>
      </c>
      <c r="M28" s="5">
        <v>92170982</v>
      </c>
      <c r="N28" s="5">
        <v>72845186</v>
      </c>
      <c r="O28" s="5">
        <v>11008308</v>
      </c>
      <c r="P28" s="5">
        <v>83853494</v>
      </c>
      <c r="Q28" s="88">
        <v>70835763</v>
      </c>
      <c r="R28" s="5">
        <v>11063284</v>
      </c>
      <c r="S28" s="5">
        <v>81899047</v>
      </c>
      <c r="T28" s="88">
        <v>72634967</v>
      </c>
      <c r="U28" s="5">
        <v>3730991</v>
      </c>
      <c r="V28" s="5">
        <v>76365958</v>
      </c>
    </row>
    <row r="29" spans="1:22">
      <c r="H29" s="88"/>
      <c r="I29" s="5"/>
      <c r="J29" s="5"/>
      <c r="K29" s="5"/>
      <c r="L29" s="5"/>
      <c r="M29" s="5"/>
      <c r="N29" s="5"/>
      <c r="O29" s="5"/>
      <c r="P29" s="5"/>
      <c r="Q29" s="88"/>
      <c r="R29" s="5"/>
      <c r="S29" s="5"/>
      <c r="T29" s="88"/>
      <c r="U29" s="5"/>
      <c r="V29" s="5"/>
    </row>
    <row r="30" spans="1:22">
      <c r="B30" t="s">
        <v>372</v>
      </c>
      <c r="C30" t="s">
        <v>373</v>
      </c>
      <c r="D30" t="s">
        <v>112</v>
      </c>
      <c r="E30" t="s">
        <v>372</v>
      </c>
      <c r="F30" t="s">
        <v>373</v>
      </c>
      <c r="G30" t="s">
        <v>112</v>
      </c>
      <c r="H30" s="88"/>
      <c r="I30" s="5"/>
      <c r="J30" s="5"/>
      <c r="K30" s="5"/>
      <c r="L30" s="5"/>
      <c r="M30" s="5"/>
      <c r="N30" s="5"/>
      <c r="O30" s="5"/>
      <c r="P30" s="5"/>
      <c r="Q30" s="88"/>
      <c r="R30" s="5"/>
      <c r="S30" s="5"/>
      <c r="T30" s="88"/>
      <c r="U30" s="5"/>
      <c r="V30" s="5"/>
    </row>
    <row r="31" spans="1:22">
      <c r="A31" t="s">
        <v>374</v>
      </c>
      <c r="B31" s="88">
        <f>E42</f>
        <v>99179236</v>
      </c>
      <c r="C31" s="88">
        <f t="shared" ref="C31:D31" si="7">F42</f>
        <v>38307009</v>
      </c>
      <c r="D31" s="88">
        <f t="shared" si="7"/>
        <v>137486245</v>
      </c>
      <c r="E31">
        <f t="shared" ref="E31:E38" si="8">F49+G49</f>
        <v>91132797</v>
      </c>
      <c r="F31" s="88">
        <f t="shared" ref="F31:F38" si="9">D49+E49+H49</f>
        <v>38269669</v>
      </c>
      <c r="G31">
        <f t="shared" ref="G31:G38" si="10">I49</f>
        <v>129402466</v>
      </c>
      <c r="H31" s="88"/>
      <c r="I31" s="5"/>
      <c r="J31" s="5"/>
      <c r="K31" s="5"/>
      <c r="L31" s="5"/>
      <c r="M31" s="5"/>
      <c r="N31" s="5"/>
      <c r="O31" s="5"/>
      <c r="P31" s="5"/>
      <c r="Q31" s="88"/>
      <c r="R31" s="5"/>
      <c r="S31" s="5"/>
      <c r="T31" s="88"/>
      <c r="U31" s="5"/>
      <c r="V31" s="5"/>
    </row>
    <row r="32" spans="1:22">
      <c r="A32" t="s">
        <v>375</v>
      </c>
      <c r="E32">
        <f t="shared" si="8"/>
        <v>-13318</v>
      </c>
      <c r="F32" s="88">
        <f t="shared" si="9"/>
        <v>13318</v>
      </c>
      <c r="G32">
        <f t="shared" si="10"/>
        <v>0</v>
      </c>
      <c r="H32" s="88"/>
      <c r="I32" s="5"/>
      <c r="J32" s="5"/>
      <c r="K32" s="5"/>
      <c r="L32" s="5"/>
      <c r="M32" s="5"/>
      <c r="N32" s="5"/>
      <c r="O32" s="5"/>
      <c r="P32" s="5"/>
      <c r="Q32" s="88"/>
      <c r="R32" s="5"/>
      <c r="S32" s="5"/>
      <c r="T32" s="88"/>
      <c r="U32" s="5"/>
      <c r="V32" s="5"/>
    </row>
    <row r="33" spans="1:22">
      <c r="A33" t="s">
        <v>376</v>
      </c>
      <c r="E33">
        <f t="shared" si="8"/>
        <v>-588849</v>
      </c>
      <c r="F33" s="88">
        <f t="shared" si="9"/>
        <v>588849</v>
      </c>
      <c r="G33">
        <f t="shared" si="10"/>
        <v>0</v>
      </c>
      <c r="H33" s="88"/>
      <c r="I33" s="5"/>
      <c r="J33" s="5"/>
      <c r="K33" s="5"/>
      <c r="L33" s="5"/>
      <c r="M33" s="5"/>
      <c r="N33" s="5"/>
      <c r="O33" s="5"/>
      <c r="P33" s="5"/>
      <c r="Q33" s="88"/>
      <c r="R33" s="5"/>
      <c r="S33" s="5"/>
      <c r="T33" s="88"/>
      <c r="U33" s="5"/>
      <c r="V33" s="5"/>
    </row>
    <row r="34" spans="1:22">
      <c r="A34" t="s">
        <v>377</v>
      </c>
      <c r="E34">
        <f t="shared" si="8"/>
        <v>3733133</v>
      </c>
      <c r="F34" s="88">
        <f t="shared" si="9"/>
        <v>-3733133</v>
      </c>
      <c r="G34">
        <f t="shared" si="10"/>
        <v>0</v>
      </c>
      <c r="H34" s="88"/>
      <c r="I34" s="5"/>
      <c r="J34" s="5"/>
      <c r="K34" s="5"/>
      <c r="L34" s="5"/>
      <c r="M34" s="5"/>
      <c r="N34" s="5"/>
      <c r="O34" s="5"/>
      <c r="P34" s="5"/>
      <c r="Q34" s="88"/>
      <c r="R34" s="5"/>
      <c r="S34" s="5"/>
      <c r="T34" s="88"/>
      <c r="U34" s="5"/>
      <c r="V34" s="5"/>
    </row>
    <row r="35" spans="1:22">
      <c r="A35" t="s">
        <v>363</v>
      </c>
      <c r="E35">
        <f t="shared" si="8"/>
        <v>-658411</v>
      </c>
      <c r="F35" s="88">
        <f t="shared" si="9"/>
        <v>-85245</v>
      </c>
      <c r="G35">
        <f t="shared" si="10"/>
        <v>-743656</v>
      </c>
      <c r="H35" s="88"/>
      <c r="I35" s="5"/>
      <c r="J35" s="5"/>
      <c r="K35" s="5"/>
      <c r="L35" s="5"/>
      <c r="M35" s="5"/>
      <c r="N35" s="5"/>
      <c r="O35" s="5"/>
      <c r="P35" s="5"/>
      <c r="Q35" s="88"/>
      <c r="R35" s="5"/>
      <c r="S35" s="5"/>
      <c r="T35" s="88"/>
      <c r="U35" s="5"/>
      <c r="V35" s="5"/>
    </row>
    <row r="36" spans="1:22">
      <c r="A36" t="s">
        <v>364</v>
      </c>
      <c r="E36">
        <f t="shared" si="8"/>
        <v>26780977</v>
      </c>
      <c r="F36" s="88">
        <f t="shared" si="9"/>
        <v>37796996</v>
      </c>
      <c r="G36">
        <f t="shared" si="10"/>
        <v>64577973</v>
      </c>
      <c r="H36" s="88"/>
      <c r="I36" s="5"/>
      <c r="J36" s="5"/>
      <c r="K36" s="5"/>
      <c r="L36" s="5"/>
      <c r="M36" s="5"/>
      <c r="N36" s="5"/>
      <c r="O36" s="5"/>
      <c r="P36" s="5"/>
      <c r="Q36" s="88"/>
      <c r="R36" s="5"/>
      <c r="S36" s="5"/>
      <c r="T36" s="88"/>
      <c r="U36" s="5"/>
      <c r="V36" s="5"/>
    </row>
    <row r="37" spans="1:22">
      <c r="A37" t="s">
        <v>365</v>
      </c>
      <c r="E37">
        <f t="shared" si="8"/>
        <v>-9466340</v>
      </c>
      <c r="F37" s="88">
        <f t="shared" si="9"/>
        <v>-34543445</v>
      </c>
      <c r="G37">
        <f t="shared" si="10"/>
        <v>-44009785</v>
      </c>
      <c r="H37" s="88"/>
      <c r="I37" s="5"/>
      <c r="J37" s="5"/>
      <c r="K37" s="5"/>
      <c r="L37" s="5"/>
      <c r="M37" s="5"/>
      <c r="N37" s="5"/>
      <c r="O37" s="5"/>
      <c r="P37" s="5"/>
      <c r="Q37" s="88"/>
      <c r="R37" s="5"/>
      <c r="S37" s="5"/>
      <c r="T37" s="88"/>
      <c r="U37" s="5"/>
      <c r="V37" s="5"/>
    </row>
    <row r="38" spans="1:22" s="8" customFormat="1">
      <c r="A38" s="8" t="s">
        <v>366</v>
      </c>
      <c r="B38" s="300">
        <f>B31*B44</f>
        <v>11455468.525628258</v>
      </c>
      <c r="C38" s="300">
        <f>C31*C44</f>
        <v>10779641.257838357</v>
      </c>
      <c r="D38" s="300">
        <f t="shared" ref="D38" si="11">D31*D44</f>
        <v>16595894.278324855</v>
      </c>
      <c r="E38" s="8">
        <f t="shared" si="8"/>
        <v>17314637</v>
      </c>
      <c r="F38" s="89">
        <f t="shared" si="9"/>
        <v>3253551</v>
      </c>
      <c r="G38" s="8">
        <f t="shared" si="10"/>
        <v>20568188</v>
      </c>
      <c r="H38" s="89"/>
      <c r="I38" s="46"/>
      <c r="J38" s="46"/>
      <c r="K38" s="46"/>
      <c r="L38" s="46"/>
      <c r="M38" s="46"/>
      <c r="N38" s="46"/>
      <c r="O38" s="46"/>
      <c r="P38" s="46"/>
      <c r="Q38" s="89"/>
      <c r="R38" s="46"/>
      <c r="S38" s="46"/>
      <c r="T38" s="89"/>
      <c r="U38" s="46"/>
      <c r="V38" s="46"/>
    </row>
    <row r="39" spans="1:22">
      <c r="A39" t="s">
        <v>367</v>
      </c>
      <c r="E39">
        <f>F58+G58</f>
        <v>-274326</v>
      </c>
      <c r="F39" s="88">
        <f>D58+E58+H58</f>
        <v>0</v>
      </c>
      <c r="G39">
        <f>I58</f>
        <v>-274326</v>
      </c>
      <c r="H39" s="88"/>
      <c r="I39" s="5"/>
      <c r="J39" s="5"/>
      <c r="K39" s="5"/>
      <c r="L39" s="5"/>
      <c r="M39" s="5"/>
      <c r="N39" s="5"/>
      <c r="O39" s="5"/>
      <c r="P39" s="5"/>
      <c r="Q39" s="88"/>
      <c r="R39" s="5"/>
      <c r="S39" s="5"/>
      <c r="T39" s="88"/>
      <c r="U39" s="5"/>
      <c r="V39" s="5"/>
    </row>
    <row r="40" spans="1:22">
      <c r="A40" t="s">
        <v>378</v>
      </c>
      <c r="E40">
        <f t="shared" ref="E40:E41" si="12">F60+G60</f>
        <v>-3534146</v>
      </c>
      <c r="F40" s="88">
        <f t="shared" ref="F40:F41" si="13">D60+E60+H60</f>
        <v>0</v>
      </c>
      <c r="G40">
        <f t="shared" ref="G40:G41" si="14">I60</f>
        <v>-3534146</v>
      </c>
      <c r="H40" s="88"/>
      <c r="I40" s="5"/>
      <c r="J40" s="5"/>
      <c r="K40" s="5"/>
      <c r="L40" s="5"/>
      <c r="M40" s="5"/>
      <c r="N40" s="5"/>
      <c r="O40" s="5"/>
      <c r="P40" s="5"/>
      <c r="Q40" s="88"/>
      <c r="R40" s="5"/>
      <c r="S40" s="5"/>
      <c r="T40" s="88"/>
      <c r="U40" s="5"/>
      <c r="V40" s="5"/>
    </row>
    <row r="41" spans="1:22">
      <c r="A41" t="s">
        <v>368</v>
      </c>
      <c r="E41">
        <f t="shared" si="12"/>
        <v>-7932281</v>
      </c>
      <c r="F41" s="88">
        <f t="shared" si="13"/>
        <v>0</v>
      </c>
      <c r="G41">
        <f t="shared" si="14"/>
        <v>-7932281</v>
      </c>
      <c r="H41" s="88"/>
      <c r="I41" s="5"/>
      <c r="J41" s="5"/>
      <c r="K41" s="5"/>
      <c r="L41" s="5"/>
      <c r="M41" s="5"/>
      <c r="N41" s="5"/>
      <c r="O41" s="5"/>
      <c r="P41" s="5"/>
      <c r="Q41" s="88"/>
      <c r="R41" s="5"/>
      <c r="S41" s="5"/>
      <c r="T41" s="88"/>
      <c r="U41" s="5"/>
      <c r="V41" s="5"/>
    </row>
    <row r="42" spans="1:22">
      <c r="A42" t="s">
        <v>371</v>
      </c>
      <c r="E42">
        <f>F62+G62</f>
        <v>99179236</v>
      </c>
      <c r="F42" s="88">
        <f>D62+E62+H62</f>
        <v>38307009</v>
      </c>
      <c r="G42">
        <f>I62</f>
        <v>137486245</v>
      </c>
      <c r="H42" s="88"/>
      <c r="I42" s="5"/>
      <c r="J42" s="5"/>
      <c r="K42" s="5"/>
      <c r="L42" s="5"/>
      <c r="M42" s="5"/>
      <c r="N42" s="5"/>
      <c r="O42" s="5"/>
      <c r="P42" s="5"/>
      <c r="Q42" s="88"/>
      <c r="R42" s="5"/>
      <c r="S42" s="5"/>
      <c r="T42" s="88"/>
      <c r="U42" s="5"/>
      <c r="V42" s="5"/>
    </row>
    <row r="43" spans="1:22">
      <c r="H43" s="88"/>
      <c r="I43" s="5"/>
      <c r="J43" s="5"/>
      <c r="K43" s="5"/>
      <c r="L43" s="5"/>
      <c r="M43" s="5"/>
      <c r="N43" s="5"/>
      <c r="O43" s="5"/>
      <c r="P43" s="5"/>
      <c r="Q43" s="88"/>
      <c r="R43" s="5"/>
      <c r="S43" s="5"/>
      <c r="T43" s="88"/>
      <c r="U43" s="5"/>
      <c r="V43" s="5"/>
    </row>
    <row r="44" spans="1:22" s="8" customFormat="1">
      <c r="A44" s="8" t="s">
        <v>379</v>
      </c>
      <c r="B44" s="298">
        <f>(3*(E44+H44)+(2*(K44+N44))+(Q44+T44))/12</f>
        <v>0.1155026897528053</v>
      </c>
      <c r="C44" s="298">
        <f t="shared" ref="C44:D44" si="15">(3*(F44+I44)+(2*(L44+O44))+(R44+U44))/12</f>
        <v>0.28140127718763835</v>
      </c>
      <c r="D44" s="298">
        <f t="shared" si="15"/>
        <v>0.12070948827153477</v>
      </c>
      <c r="E44" s="299">
        <f>E38/E31</f>
        <v>0.18999347732079375</v>
      </c>
      <c r="F44" s="299">
        <f t="shared" ref="F44:G44" si="16">F38/F31</f>
        <v>8.5016439520289547E-2</v>
      </c>
      <c r="G44" s="299">
        <f t="shared" si="16"/>
        <v>0.15894741913187344</v>
      </c>
      <c r="H44" s="299">
        <f t="shared" ref="H44:V44" si="17">H23/H19</f>
        <v>0.12547648382572246</v>
      </c>
      <c r="I44" s="299">
        <f t="shared" si="17"/>
        <v>0.2623351679059886</v>
      </c>
      <c r="J44" s="299">
        <f t="shared" si="17"/>
        <v>0.14613277094085858</v>
      </c>
      <c r="K44" s="299">
        <f t="shared" si="17"/>
        <v>5.1232898217872629E-2</v>
      </c>
      <c r="L44" s="299">
        <f t="shared" si="17"/>
        <v>0.20090199147770937</v>
      </c>
      <c r="M44" s="299">
        <f t="shared" si="17"/>
        <v>7.0881494812845849E-2</v>
      </c>
      <c r="N44" s="299">
        <f t="shared" si="17"/>
        <v>0.1118403143338768</v>
      </c>
      <c r="O44" s="299">
        <f t="shared" si="17"/>
        <v>-2.5060370862756483E-2</v>
      </c>
      <c r="P44" s="299">
        <f t="shared" si="17"/>
        <v>9.3347166786934652E-2</v>
      </c>
      <c r="Q44" s="299">
        <f t="shared" si="17"/>
        <v>6.5742949948610838E-2</v>
      </c>
      <c r="R44" s="299">
        <f t="shared" si="17"/>
        <v>1.9524549911806273</v>
      </c>
      <c r="S44" s="299">
        <f t="shared" si="17"/>
        <v>0.15792153095231254</v>
      </c>
      <c r="T44" s="299">
        <f t="shared" si="17"/>
        <v>4.7733018542005158E-2</v>
      </c>
      <c r="U44" s="299">
        <f t="shared" si="17"/>
        <v>3.0622271562292483E-2</v>
      </c>
      <c r="V44" s="299">
        <f t="shared" si="17"/>
        <v>4.6894434888347568E-2</v>
      </c>
    </row>
    <row r="46" spans="1:22">
      <c r="D46" t="s">
        <v>380</v>
      </c>
      <c r="E46" t="s">
        <v>381</v>
      </c>
      <c r="F46" t="s">
        <v>382</v>
      </c>
      <c r="G46" t="s">
        <v>360</v>
      </c>
      <c r="H46" t="s">
        <v>361</v>
      </c>
      <c r="I46" t="s">
        <v>112</v>
      </c>
    </row>
    <row r="47" spans="1:22" ht="13.9" customHeight="1">
      <c r="A47" t="s">
        <v>383</v>
      </c>
      <c r="D47" s="5"/>
      <c r="E47" s="5"/>
      <c r="F47" s="5"/>
      <c r="G47" s="5">
        <v>84920073</v>
      </c>
      <c r="H47" s="5">
        <v>18392219</v>
      </c>
      <c r="I47" s="5">
        <v>103312292</v>
      </c>
    </row>
    <row r="48" spans="1:22">
      <c r="A48" t="s">
        <v>384</v>
      </c>
      <c r="D48" s="5">
        <v>13256248</v>
      </c>
      <c r="E48" s="5">
        <v>17241118</v>
      </c>
      <c r="F48" s="5">
        <v>86791214</v>
      </c>
      <c r="G48" s="5">
        <v>-80578490</v>
      </c>
      <c r="H48" s="5">
        <v>-10619916</v>
      </c>
      <c r="I48" s="5">
        <v>26090174</v>
      </c>
    </row>
    <row r="49" spans="1:9">
      <c r="A49" t="s">
        <v>374</v>
      </c>
      <c r="D49" s="5">
        <v>13256248</v>
      </c>
      <c r="E49" s="5">
        <v>17241118</v>
      </c>
      <c r="F49" s="5">
        <v>86791214</v>
      </c>
      <c r="G49" s="5">
        <v>4341583</v>
      </c>
      <c r="H49" s="5">
        <v>7772303</v>
      </c>
      <c r="I49" s="5">
        <v>129402466</v>
      </c>
    </row>
    <row r="50" spans="1:9">
      <c r="A50" t="s">
        <v>375</v>
      </c>
      <c r="D50" s="5">
        <v>461482</v>
      </c>
      <c r="E50" s="5">
        <v>-448164</v>
      </c>
      <c r="F50" s="5">
        <v>-13318</v>
      </c>
      <c r="G50" s="5"/>
      <c r="H50" s="5"/>
      <c r="I50" s="5"/>
    </row>
    <row r="51" spans="1:9">
      <c r="A51" t="s">
        <v>376</v>
      </c>
      <c r="D51" s="5">
        <v>-1420532</v>
      </c>
      <c r="E51" s="5">
        <v>2009381</v>
      </c>
      <c r="F51" s="5">
        <v>-588849</v>
      </c>
      <c r="G51" s="5"/>
      <c r="H51" s="5"/>
      <c r="I51" s="5"/>
    </row>
    <row r="52" spans="1:9">
      <c r="A52" t="s">
        <v>377</v>
      </c>
      <c r="D52" s="5">
        <v>-554289</v>
      </c>
      <c r="E52" s="5">
        <v>-3178844</v>
      </c>
      <c r="F52" s="5">
        <v>3733133</v>
      </c>
      <c r="G52" s="5"/>
      <c r="H52" s="5"/>
      <c r="I52" s="5"/>
    </row>
    <row r="53" spans="1:9">
      <c r="A53" t="s">
        <v>363</v>
      </c>
      <c r="D53" s="5">
        <v>-44796</v>
      </c>
      <c r="E53" s="5">
        <v>-24324</v>
      </c>
      <c r="F53" s="5">
        <v>-605460</v>
      </c>
      <c r="G53" s="5">
        <v>-52951</v>
      </c>
      <c r="H53" s="5">
        <v>-16125</v>
      </c>
      <c r="I53" s="5">
        <v>-743656</v>
      </c>
    </row>
    <row r="54" spans="1:9">
      <c r="A54" t="s">
        <v>364</v>
      </c>
      <c r="D54" s="5">
        <v>9927206</v>
      </c>
      <c r="E54" s="5">
        <v>24240602</v>
      </c>
      <c r="F54" s="5">
        <v>26686494</v>
      </c>
      <c r="G54" s="5">
        <v>94483</v>
      </c>
      <c r="H54" s="5">
        <v>3629188</v>
      </c>
      <c r="I54" s="5">
        <v>64577973</v>
      </c>
    </row>
    <row r="55" spans="1:9">
      <c r="A55" t="s">
        <v>365</v>
      </c>
      <c r="D55" s="5">
        <v>-8321201</v>
      </c>
      <c r="E55" s="5">
        <v>-26205360</v>
      </c>
      <c r="F55" s="5">
        <v>-9412105</v>
      </c>
      <c r="G55" s="5">
        <v>-54235</v>
      </c>
      <c r="H55" s="5">
        <v>-16884</v>
      </c>
      <c r="I55" s="5">
        <v>-44009785</v>
      </c>
    </row>
    <row r="56" spans="1:9" s="8" customFormat="1">
      <c r="A56" s="8" t="s">
        <v>366</v>
      </c>
      <c r="D56" s="46">
        <v>1606005</v>
      </c>
      <c r="E56" s="46">
        <v>-1964758</v>
      </c>
      <c r="F56" s="46">
        <v>17274389</v>
      </c>
      <c r="G56" s="46">
        <v>40248</v>
      </c>
      <c r="H56" s="46">
        <v>3612304</v>
      </c>
      <c r="I56" s="46">
        <v>20568188</v>
      </c>
    </row>
    <row r="57" spans="1:9">
      <c r="A57" t="s">
        <v>385</v>
      </c>
      <c r="D57" s="5"/>
      <c r="E57" s="5"/>
      <c r="F57" s="5"/>
      <c r="G57" s="5"/>
      <c r="H57" s="5"/>
      <c r="I57" s="5"/>
    </row>
    <row r="58" spans="1:9">
      <c r="A58" t="s">
        <v>386</v>
      </c>
      <c r="D58" s="5"/>
      <c r="E58" s="5"/>
      <c r="F58" s="5">
        <v>-274326</v>
      </c>
      <c r="G58" s="5"/>
      <c r="H58" s="5"/>
      <c r="I58" s="5">
        <v>-274326</v>
      </c>
    </row>
    <row r="59" spans="1:9">
      <c r="A59" t="s">
        <v>385</v>
      </c>
      <c r="D59" s="5"/>
      <c r="E59" s="5"/>
      <c r="F59" s="5"/>
      <c r="G59" s="5"/>
      <c r="H59" s="5"/>
      <c r="I59" s="5"/>
    </row>
    <row r="60" spans="1:9">
      <c r="A60" t="s">
        <v>387</v>
      </c>
      <c r="D60" s="5"/>
      <c r="E60" s="5"/>
      <c r="F60" s="5">
        <v>-3534146</v>
      </c>
      <c r="G60" s="5"/>
      <c r="H60" s="5"/>
      <c r="I60" s="5">
        <v>-3534146</v>
      </c>
    </row>
    <row r="61" spans="1:9">
      <c r="A61" t="s">
        <v>368</v>
      </c>
      <c r="D61" s="5"/>
      <c r="E61" s="5"/>
      <c r="F61" s="5">
        <v>-7932281</v>
      </c>
      <c r="G61" s="5"/>
      <c r="H61" s="5"/>
      <c r="I61" s="5">
        <v>-7932281</v>
      </c>
    </row>
    <row r="62" spans="1:9">
      <c r="A62" t="s">
        <v>371</v>
      </c>
      <c r="D62" s="5">
        <v>13304118</v>
      </c>
      <c r="E62" s="5">
        <v>13634409</v>
      </c>
      <c r="F62" s="5">
        <v>94850356</v>
      </c>
      <c r="G62" s="5">
        <v>4328880</v>
      </c>
      <c r="H62" s="5">
        <v>11368482</v>
      </c>
      <c r="I62" s="5">
        <v>137486245</v>
      </c>
    </row>
    <row r="63" spans="1:9">
      <c r="D63" s="5"/>
      <c r="E63" s="5"/>
      <c r="F63" s="5"/>
      <c r="G63" s="5"/>
      <c r="H63" s="5"/>
      <c r="I63" s="5"/>
    </row>
  </sheetData>
  <phoneticPr fontId="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A783D-DE6D-4C3E-A1A6-AEC83A08ED7D}">
  <dimension ref="A1:F150"/>
  <sheetViews>
    <sheetView showGridLines="0" topLeftCell="A46" workbookViewId="0">
      <selection activeCell="B147" sqref="B147"/>
    </sheetView>
  </sheetViews>
  <sheetFormatPr defaultRowHeight="14.45"/>
  <cols>
    <col min="1" max="1" width="17.28515625" customWidth="1"/>
    <col min="2" max="2" width="36" bestFit="1" customWidth="1"/>
    <col min="3" max="3" width="18" customWidth="1"/>
    <col min="4" max="4" width="13.140625" bestFit="1" customWidth="1"/>
    <col min="5" max="5" width="18.7109375" customWidth="1"/>
    <col min="6" max="6" width="14.28515625" customWidth="1"/>
  </cols>
  <sheetData>
    <row r="1" spans="1:6">
      <c r="A1" t="s">
        <v>388</v>
      </c>
      <c r="B1" t="s">
        <v>389</v>
      </c>
      <c r="C1" t="s">
        <v>390</v>
      </c>
      <c r="D1" t="s">
        <v>391</v>
      </c>
      <c r="E1" t="s">
        <v>392</v>
      </c>
      <c r="F1" t="s">
        <v>393</v>
      </c>
    </row>
    <row r="2" spans="1:6" hidden="1">
      <c r="A2" s="155">
        <v>45783</v>
      </c>
      <c r="B2" t="s">
        <v>394</v>
      </c>
      <c r="C2">
        <v>12</v>
      </c>
      <c r="D2" t="s">
        <v>395</v>
      </c>
      <c r="E2" t="s">
        <v>396</v>
      </c>
      <c r="F2">
        <v>10</v>
      </c>
    </row>
    <row r="3" spans="1:6" hidden="1">
      <c r="A3" s="155">
        <v>45783</v>
      </c>
      <c r="B3" t="s">
        <v>397</v>
      </c>
      <c r="C3">
        <v>10</v>
      </c>
      <c r="D3" t="s">
        <v>395</v>
      </c>
      <c r="E3" t="s">
        <v>396</v>
      </c>
      <c r="F3">
        <v>20</v>
      </c>
    </row>
    <row r="4" spans="1:6">
      <c r="A4" s="155">
        <v>45783</v>
      </c>
      <c r="B4" t="s">
        <v>398</v>
      </c>
      <c r="C4">
        <v>11</v>
      </c>
      <c r="D4" t="s">
        <v>395</v>
      </c>
      <c r="E4" t="s">
        <v>396</v>
      </c>
      <c r="F4">
        <v>30</v>
      </c>
    </row>
    <row r="5" spans="1:6" hidden="1">
      <c r="A5" s="155">
        <v>45685</v>
      </c>
      <c r="B5" t="s">
        <v>394</v>
      </c>
      <c r="C5">
        <v>13</v>
      </c>
      <c r="D5" t="s">
        <v>395</v>
      </c>
      <c r="E5" t="s">
        <v>396</v>
      </c>
      <c r="F5">
        <v>10</v>
      </c>
    </row>
    <row r="6" spans="1:6" hidden="1">
      <c r="A6" s="155">
        <v>45685</v>
      </c>
      <c r="B6" t="s">
        <v>397</v>
      </c>
      <c r="C6">
        <v>11</v>
      </c>
      <c r="D6" t="s">
        <v>395</v>
      </c>
      <c r="E6" t="s">
        <v>396</v>
      </c>
      <c r="F6">
        <v>20</v>
      </c>
    </row>
    <row r="7" spans="1:6">
      <c r="A7" s="155">
        <v>45685</v>
      </c>
      <c r="B7" t="s">
        <v>398</v>
      </c>
      <c r="C7">
        <v>12</v>
      </c>
      <c r="D7" t="s">
        <v>395</v>
      </c>
      <c r="E7" t="s">
        <v>396</v>
      </c>
      <c r="F7">
        <v>30</v>
      </c>
    </row>
    <row r="8" spans="1:6" hidden="1">
      <c r="A8" s="155">
        <v>45643</v>
      </c>
      <c r="B8" t="s">
        <v>394</v>
      </c>
      <c r="C8">
        <v>14</v>
      </c>
      <c r="D8" t="s">
        <v>395</v>
      </c>
      <c r="E8" t="s">
        <v>396</v>
      </c>
      <c r="F8">
        <v>10</v>
      </c>
    </row>
    <row r="9" spans="1:6" hidden="1">
      <c r="A9" s="155">
        <v>45643</v>
      </c>
      <c r="B9" t="s">
        <v>397</v>
      </c>
      <c r="C9">
        <v>12</v>
      </c>
      <c r="D9" t="s">
        <v>395</v>
      </c>
      <c r="E9" t="s">
        <v>396</v>
      </c>
      <c r="F9">
        <v>20</v>
      </c>
    </row>
    <row r="10" spans="1:6">
      <c r="A10" s="155">
        <v>45643</v>
      </c>
      <c r="B10" t="s">
        <v>398</v>
      </c>
      <c r="C10">
        <v>13</v>
      </c>
      <c r="D10" t="s">
        <v>395</v>
      </c>
      <c r="E10" t="s">
        <v>396</v>
      </c>
      <c r="F10">
        <v>30</v>
      </c>
    </row>
    <row r="11" spans="1:6" hidden="1">
      <c r="A11" s="155">
        <v>45601</v>
      </c>
      <c r="B11" t="s">
        <v>394</v>
      </c>
      <c r="C11">
        <v>16</v>
      </c>
      <c r="D11" t="s">
        <v>395</v>
      </c>
      <c r="E11" t="s">
        <v>396</v>
      </c>
      <c r="F11">
        <v>10</v>
      </c>
    </row>
    <row r="12" spans="1:6" hidden="1">
      <c r="A12" s="155">
        <v>45601</v>
      </c>
      <c r="B12" t="s">
        <v>397</v>
      </c>
      <c r="C12">
        <v>14</v>
      </c>
      <c r="D12" t="s">
        <v>395</v>
      </c>
      <c r="E12" t="s">
        <v>396</v>
      </c>
      <c r="F12">
        <v>20</v>
      </c>
    </row>
    <row r="13" spans="1:6">
      <c r="A13" s="155">
        <v>45601</v>
      </c>
      <c r="B13" t="s">
        <v>398</v>
      </c>
      <c r="C13">
        <v>15</v>
      </c>
      <c r="D13" t="s">
        <v>395</v>
      </c>
      <c r="E13" t="s">
        <v>396</v>
      </c>
      <c r="F13">
        <v>30</v>
      </c>
    </row>
    <row r="14" spans="1:6" hidden="1">
      <c r="A14" s="155">
        <v>45548</v>
      </c>
      <c r="B14" t="s">
        <v>394</v>
      </c>
      <c r="C14">
        <v>18.5</v>
      </c>
      <c r="D14" t="s">
        <v>395</v>
      </c>
      <c r="E14" t="s">
        <v>396</v>
      </c>
      <c r="F14">
        <v>10</v>
      </c>
    </row>
    <row r="15" spans="1:6" hidden="1">
      <c r="A15" s="155">
        <v>45548</v>
      </c>
      <c r="B15" t="s">
        <v>397</v>
      </c>
      <c r="C15">
        <v>16.5</v>
      </c>
      <c r="D15" t="s">
        <v>395</v>
      </c>
      <c r="E15" t="s">
        <v>396</v>
      </c>
      <c r="F15">
        <v>20</v>
      </c>
    </row>
    <row r="16" spans="1:6">
      <c r="A16" s="155">
        <v>45548</v>
      </c>
      <c r="B16" t="s">
        <v>398</v>
      </c>
      <c r="C16">
        <v>17.5</v>
      </c>
      <c r="D16" t="s">
        <v>395</v>
      </c>
      <c r="E16" t="s">
        <v>396</v>
      </c>
      <c r="F16">
        <v>30</v>
      </c>
    </row>
    <row r="17" spans="1:6" hidden="1">
      <c r="A17" s="155">
        <v>45503</v>
      </c>
      <c r="B17" t="s">
        <v>394</v>
      </c>
      <c r="C17">
        <v>20.5</v>
      </c>
      <c r="D17" t="s">
        <v>395</v>
      </c>
      <c r="E17" t="s">
        <v>396</v>
      </c>
      <c r="F17">
        <v>10</v>
      </c>
    </row>
    <row r="18" spans="1:6" hidden="1">
      <c r="A18" s="155">
        <v>45503</v>
      </c>
      <c r="B18" t="s">
        <v>397</v>
      </c>
      <c r="C18">
        <v>18.5</v>
      </c>
      <c r="D18" t="s">
        <v>395</v>
      </c>
      <c r="E18" t="s">
        <v>396</v>
      </c>
      <c r="F18">
        <v>20</v>
      </c>
    </row>
    <row r="19" spans="1:6">
      <c r="A19" s="155">
        <v>45503</v>
      </c>
      <c r="B19" t="s">
        <v>398</v>
      </c>
      <c r="C19">
        <v>19.5</v>
      </c>
      <c r="D19" t="s">
        <v>395</v>
      </c>
      <c r="E19" t="s">
        <v>396</v>
      </c>
      <c r="F19">
        <v>30</v>
      </c>
    </row>
    <row r="20" spans="1:6" hidden="1">
      <c r="A20" s="155">
        <v>45454</v>
      </c>
      <c r="B20" t="s">
        <v>394</v>
      </c>
      <c r="C20">
        <v>21.5</v>
      </c>
      <c r="D20" t="s">
        <v>395</v>
      </c>
      <c r="E20" t="s">
        <v>396</v>
      </c>
      <c r="F20">
        <v>10</v>
      </c>
    </row>
    <row r="21" spans="1:6" hidden="1">
      <c r="A21" s="155">
        <v>45454</v>
      </c>
      <c r="B21" t="s">
        <v>397</v>
      </c>
      <c r="C21">
        <v>19.5</v>
      </c>
      <c r="D21" t="s">
        <v>395</v>
      </c>
      <c r="E21" t="s">
        <v>396</v>
      </c>
      <c r="F21">
        <v>20</v>
      </c>
    </row>
    <row r="22" spans="1:6">
      <c r="A22" s="155">
        <v>45454</v>
      </c>
      <c r="B22" t="s">
        <v>398</v>
      </c>
      <c r="C22">
        <v>20.5</v>
      </c>
      <c r="D22" t="s">
        <v>395</v>
      </c>
      <c r="E22" t="s">
        <v>396</v>
      </c>
      <c r="F22">
        <v>30</v>
      </c>
    </row>
    <row r="23" spans="1:6" hidden="1">
      <c r="A23" s="155">
        <v>45104</v>
      </c>
      <c r="B23" t="s">
        <v>394</v>
      </c>
      <c r="C23">
        <v>23</v>
      </c>
      <c r="D23" t="s">
        <v>395</v>
      </c>
      <c r="E23" t="s">
        <v>396</v>
      </c>
      <c r="F23">
        <v>10</v>
      </c>
    </row>
    <row r="24" spans="1:6" hidden="1">
      <c r="A24" s="155">
        <v>45104</v>
      </c>
      <c r="B24" t="s">
        <v>397</v>
      </c>
      <c r="C24">
        <v>21</v>
      </c>
      <c r="D24" t="s">
        <v>395</v>
      </c>
      <c r="E24" t="s">
        <v>396</v>
      </c>
      <c r="F24">
        <v>20</v>
      </c>
    </row>
    <row r="25" spans="1:6">
      <c r="A25" s="155">
        <v>45104</v>
      </c>
      <c r="B25" t="s">
        <v>398</v>
      </c>
      <c r="C25">
        <v>22</v>
      </c>
      <c r="D25" t="s">
        <v>395</v>
      </c>
      <c r="E25" t="s">
        <v>396</v>
      </c>
      <c r="F25">
        <v>30</v>
      </c>
    </row>
    <row r="26" spans="1:6" hidden="1">
      <c r="A26" s="155">
        <v>45021</v>
      </c>
      <c r="B26" t="s">
        <v>394</v>
      </c>
      <c r="C26">
        <v>22</v>
      </c>
      <c r="D26" t="s">
        <v>395</v>
      </c>
      <c r="E26" t="s">
        <v>396</v>
      </c>
      <c r="F26">
        <v>10</v>
      </c>
    </row>
    <row r="27" spans="1:6" hidden="1">
      <c r="A27" s="155">
        <v>45021</v>
      </c>
      <c r="B27" t="s">
        <v>397</v>
      </c>
      <c r="C27">
        <v>20</v>
      </c>
      <c r="D27" t="s">
        <v>395</v>
      </c>
      <c r="E27" t="s">
        <v>396</v>
      </c>
      <c r="F27">
        <v>20</v>
      </c>
    </row>
    <row r="28" spans="1:6">
      <c r="A28" s="155">
        <v>45021</v>
      </c>
      <c r="B28" t="s">
        <v>398</v>
      </c>
      <c r="C28">
        <v>21</v>
      </c>
      <c r="D28" t="s">
        <v>395</v>
      </c>
      <c r="E28" t="s">
        <v>396</v>
      </c>
      <c r="F28">
        <v>30</v>
      </c>
    </row>
    <row r="29" spans="1:6" hidden="1">
      <c r="A29" s="155">
        <v>44988</v>
      </c>
      <c r="B29" t="s">
        <v>394</v>
      </c>
      <c r="C29">
        <v>21</v>
      </c>
      <c r="D29" t="s">
        <v>395</v>
      </c>
      <c r="E29" t="s">
        <v>396</v>
      </c>
      <c r="F29">
        <v>10</v>
      </c>
    </row>
    <row r="30" spans="1:6" hidden="1">
      <c r="A30" s="155">
        <v>44988</v>
      </c>
      <c r="B30" t="s">
        <v>397</v>
      </c>
      <c r="C30">
        <v>19</v>
      </c>
      <c r="D30" t="s">
        <v>395</v>
      </c>
      <c r="E30" t="s">
        <v>396</v>
      </c>
      <c r="F30">
        <v>20</v>
      </c>
    </row>
    <row r="31" spans="1:6">
      <c r="A31" s="155">
        <v>44988</v>
      </c>
      <c r="B31" t="s">
        <v>398</v>
      </c>
      <c r="C31">
        <v>20</v>
      </c>
      <c r="D31" t="s">
        <v>395</v>
      </c>
      <c r="E31" t="s">
        <v>396</v>
      </c>
      <c r="F31">
        <v>30</v>
      </c>
    </row>
    <row r="32" spans="1:6" hidden="1">
      <c r="A32" s="155">
        <v>44950</v>
      </c>
      <c r="B32" t="s">
        <v>394</v>
      </c>
      <c r="C32">
        <v>18</v>
      </c>
      <c r="D32" t="s">
        <v>395</v>
      </c>
      <c r="E32" t="s">
        <v>396</v>
      </c>
      <c r="F32">
        <v>10</v>
      </c>
    </row>
    <row r="33" spans="1:6" hidden="1">
      <c r="A33" s="155">
        <v>44950</v>
      </c>
      <c r="B33" t="s">
        <v>397</v>
      </c>
      <c r="C33">
        <v>16</v>
      </c>
      <c r="D33" t="s">
        <v>395</v>
      </c>
      <c r="E33" t="s">
        <v>396</v>
      </c>
      <c r="F33">
        <v>20</v>
      </c>
    </row>
    <row r="34" spans="1:6">
      <c r="A34" s="155">
        <v>44950</v>
      </c>
      <c r="B34" t="s">
        <v>398</v>
      </c>
      <c r="C34">
        <v>17</v>
      </c>
      <c r="D34" t="s">
        <v>395</v>
      </c>
      <c r="E34" t="s">
        <v>396</v>
      </c>
      <c r="F34">
        <v>30</v>
      </c>
    </row>
    <row r="35" spans="1:6" hidden="1">
      <c r="A35" s="155">
        <v>44893</v>
      </c>
      <c r="B35" t="s">
        <v>394</v>
      </c>
      <c r="C35">
        <v>17</v>
      </c>
      <c r="D35" t="s">
        <v>395</v>
      </c>
      <c r="E35" t="s">
        <v>396</v>
      </c>
      <c r="F35">
        <v>10</v>
      </c>
    </row>
    <row r="36" spans="1:6" hidden="1">
      <c r="A36" s="155">
        <v>44893</v>
      </c>
      <c r="B36" t="s">
        <v>397</v>
      </c>
      <c r="C36">
        <v>15</v>
      </c>
      <c r="D36" t="s">
        <v>395</v>
      </c>
      <c r="E36" t="s">
        <v>396</v>
      </c>
      <c r="F36">
        <v>20</v>
      </c>
    </row>
    <row r="37" spans="1:6">
      <c r="A37" s="155">
        <v>44893</v>
      </c>
      <c r="B37" t="s">
        <v>398</v>
      </c>
      <c r="C37">
        <v>16</v>
      </c>
      <c r="D37" t="s">
        <v>395</v>
      </c>
      <c r="E37" t="s">
        <v>396</v>
      </c>
      <c r="F37">
        <v>30</v>
      </c>
    </row>
    <row r="38" spans="1:6" hidden="1">
      <c r="A38" s="155">
        <v>44755</v>
      </c>
      <c r="B38" t="s">
        <v>394</v>
      </c>
      <c r="C38">
        <v>16</v>
      </c>
      <c r="D38" t="s">
        <v>395</v>
      </c>
      <c r="E38" t="s">
        <v>396</v>
      </c>
      <c r="F38">
        <v>10</v>
      </c>
    </row>
    <row r="39" spans="1:6" hidden="1">
      <c r="A39" s="155">
        <v>44755</v>
      </c>
      <c r="B39" t="s">
        <v>397</v>
      </c>
      <c r="C39">
        <v>14</v>
      </c>
      <c r="D39" t="s">
        <v>395</v>
      </c>
      <c r="E39" t="s">
        <v>396</v>
      </c>
      <c r="F39">
        <v>20</v>
      </c>
    </row>
    <row r="40" spans="1:6">
      <c r="A40" s="155">
        <v>44755</v>
      </c>
      <c r="B40" t="s">
        <v>398</v>
      </c>
      <c r="C40">
        <v>15</v>
      </c>
      <c r="D40" t="s">
        <v>395</v>
      </c>
      <c r="E40" t="s">
        <v>396</v>
      </c>
      <c r="F40">
        <v>30</v>
      </c>
    </row>
    <row r="41" spans="1:6" hidden="1">
      <c r="A41" s="155">
        <v>44705</v>
      </c>
      <c r="B41" t="s">
        <v>394</v>
      </c>
      <c r="C41">
        <v>14.75</v>
      </c>
      <c r="D41" t="s">
        <v>395</v>
      </c>
      <c r="E41" t="s">
        <v>396</v>
      </c>
      <c r="F41">
        <v>10</v>
      </c>
    </row>
    <row r="42" spans="1:6" hidden="1">
      <c r="A42" s="155">
        <v>44705</v>
      </c>
      <c r="B42" t="s">
        <v>397</v>
      </c>
      <c r="C42">
        <v>12.75</v>
      </c>
      <c r="D42" t="s">
        <v>395</v>
      </c>
      <c r="E42" t="s">
        <v>396</v>
      </c>
      <c r="F42">
        <v>20</v>
      </c>
    </row>
    <row r="43" spans="1:6">
      <c r="A43" s="155">
        <v>44705</v>
      </c>
      <c r="B43" t="s">
        <v>398</v>
      </c>
      <c r="C43">
        <v>13.75</v>
      </c>
      <c r="D43" t="s">
        <v>395</v>
      </c>
      <c r="E43" t="s">
        <v>396</v>
      </c>
      <c r="F43">
        <v>30</v>
      </c>
    </row>
    <row r="44" spans="1:6" hidden="1">
      <c r="A44" s="155">
        <v>44659</v>
      </c>
      <c r="B44" t="s">
        <v>394</v>
      </c>
      <c r="C44">
        <v>13.25</v>
      </c>
      <c r="D44" t="s">
        <v>395</v>
      </c>
      <c r="E44" t="s">
        <v>396</v>
      </c>
      <c r="F44">
        <v>10</v>
      </c>
    </row>
    <row r="45" spans="1:6" hidden="1">
      <c r="A45" s="155">
        <v>44659</v>
      </c>
      <c r="B45" t="s">
        <v>397</v>
      </c>
      <c r="C45">
        <v>11.25</v>
      </c>
      <c r="D45" t="s">
        <v>395</v>
      </c>
      <c r="E45" t="s">
        <v>396</v>
      </c>
      <c r="F45">
        <v>20</v>
      </c>
    </row>
    <row r="46" spans="1:6">
      <c r="A46" s="155">
        <v>44659</v>
      </c>
      <c r="B46" t="s">
        <v>398</v>
      </c>
      <c r="C46">
        <v>12.25</v>
      </c>
      <c r="D46" t="s">
        <v>395</v>
      </c>
      <c r="E46" t="s">
        <v>396</v>
      </c>
      <c r="F46">
        <v>30</v>
      </c>
    </row>
    <row r="47" spans="1:6" hidden="1">
      <c r="A47" s="155">
        <v>44545</v>
      </c>
      <c r="B47" t="s">
        <v>394</v>
      </c>
      <c r="C47">
        <v>10.75</v>
      </c>
      <c r="D47" t="s">
        <v>395</v>
      </c>
      <c r="E47" t="s">
        <v>396</v>
      </c>
      <c r="F47">
        <v>10</v>
      </c>
    </row>
    <row r="48" spans="1:6" hidden="1">
      <c r="A48" s="155">
        <v>44545</v>
      </c>
      <c r="B48" t="s">
        <v>397</v>
      </c>
      <c r="C48">
        <v>8.75</v>
      </c>
      <c r="D48" t="s">
        <v>395</v>
      </c>
      <c r="E48" t="s">
        <v>396</v>
      </c>
      <c r="F48">
        <v>20</v>
      </c>
    </row>
    <row r="49" spans="1:6">
      <c r="A49" s="155">
        <v>44545</v>
      </c>
      <c r="B49" t="s">
        <v>398</v>
      </c>
      <c r="C49">
        <v>9.75</v>
      </c>
      <c r="D49" t="s">
        <v>395</v>
      </c>
      <c r="E49" t="s">
        <v>396</v>
      </c>
      <c r="F49">
        <v>30</v>
      </c>
    </row>
    <row r="50" spans="1:6" hidden="1">
      <c r="A50" s="155">
        <v>44522</v>
      </c>
      <c r="B50" t="s">
        <v>394</v>
      </c>
      <c r="C50">
        <v>9.75</v>
      </c>
      <c r="D50" t="s">
        <v>395</v>
      </c>
      <c r="E50" t="s">
        <v>396</v>
      </c>
      <c r="F50">
        <v>10</v>
      </c>
    </row>
    <row r="51" spans="1:6" hidden="1">
      <c r="A51" s="155">
        <v>44522</v>
      </c>
      <c r="B51" t="s">
        <v>397</v>
      </c>
      <c r="C51">
        <v>7.75</v>
      </c>
      <c r="D51" t="s">
        <v>395</v>
      </c>
      <c r="E51" t="s">
        <v>396</v>
      </c>
      <c r="F51">
        <v>20</v>
      </c>
    </row>
    <row r="52" spans="1:6">
      <c r="A52" s="155">
        <v>44522</v>
      </c>
      <c r="B52" t="s">
        <v>398</v>
      </c>
      <c r="C52">
        <v>8.75</v>
      </c>
      <c r="D52" t="s">
        <v>395</v>
      </c>
      <c r="E52" t="s">
        <v>396</v>
      </c>
      <c r="F52">
        <v>30</v>
      </c>
    </row>
    <row r="53" spans="1:6" hidden="1">
      <c r="A53" s="155">
        <v>44460</v>
      </c>
      <c r="B53" t="s">
        <v>394</v>
      </c>
      <c r="C53">
        <v>8.25</v>
      </c>
      <c r="D53" t="s">
        <v>395</v>
      </c>
      <c r="E53" t="s">
        <v>396</v>
      </c>
      <c r="F53">
        <v>10</v>
      </c>
    </row>
    <row r="54" spans="1:6" hidden="1">
      <c r="A54" s="155">
        <v>44460</v>
      </c>
      <c r="B54" t="s">
        <v>397</v>
      </c>
      <c r="C54">
        <v>6.25</v>
      </c>
      <c r="D54" t="s">
        <v>395</v>
      </c>
      <c r="E54" t="s">
        <v>396</v>
      </c>
      <c r="F54">
        <v>20</v>
      </c>
    </row>
    <row r="55" spans="1:6">
      <c r="A55" s="155">
        <v>44460</v>
      </c>
      <c r="B55" t="s">
        <v>398</v>
      </c>
      <c r="C55">
        <v>7.25</v>
      </c>
      <c r="D55" t="s">
        <v>395</v>
      </c>
      <c r="E55" t="s">
        <v>396</v>
      </c>
      <c r="F55">
        <v>30</v>
      </c>
    </row>
    <row r="56" spans="1:6" hidden="1">
      <c r="A56" s="155">
        <v>44008</v>
      </c>
      <c r="B56" t="s">
        <v>394</v>
      </c>
      <c r="C56">
        <v>8</v>
      </c>
      <c r="D56" t="s">
        <v>395</v>
      </c>
      <c r="E56" t="s">
        <v>396</v>
      </c>
      <c r="F56">
        <v>10</v>
      </c>
    </row>
    <row r="57" spans="1:6" hidden="1">
      <c r="A57" s="155">
        <v>44008</v>
      </c>
      <c r="B57" t="s">
        <v>397</v>
      </c>
      <c r="C57">
        <v>6</v>
      </c>
      <c r="D57" t="s">
        <v>395</v>
      </c>
      <c r="E57" t="s">
        <v>396</v>
      </c>
      <c r="F57">
        <v>20</v>
      </c>
    </row>
    <row r="58" spans="1:6">
      <c r="A58" s="155">
        <v>44008</v>
      </c>
      <c r="B58" t="s">
        <v>398</v>
      </c>
      <c r="C58">
        <v>7</v>
      </c>
      <c r="D58" t="s">
        <v>395</v>
      </c>
      <c r="E58" t="s">
        <v>396</v>
      </c>
      <c r="F58">
        <v>30</v>
      </c>
    </row>
    <row r="59" spans="1:6" hidden="1">
      <c r="A59" s="155">
        <v>43969</v>
      </c>
      <c r="B59" t="s">
        <v>394</v>
      </c>
      <c r="C59">
        <v>9</v>
      </c>
      <c r="D59" t="s">
        <v>395</v>
      </c>
      <c r="E59" t="s">
        <v>396</v>
      </c>
      <c r="F59">
        <v>10</v>
      </c>
    </row>
    <row r="60" spans="1:6" hidden="1">
      <c r="A60" s="155">
        <v>43969</v>
      </c>
      <c r="B60" t="s">
        <v>397</v>
      </c>
      <c r="C60">
        <v>7</v>
      </c>
      <c r="D60" t="s">
        <v>395</v>
      </c>
      <c r="E60" t="s">
        <v>396</v>
      </c>
      <c r="F60">
        <v>20</v>
      </c>
    </row>
    <row r="61" spans="1:6">
      <c r="A61" s="155">
        <v>43969</v>
      </c>
      <c r="B61" t="s">
        <v>398</v>
      </c>
      <c r="C61">
        <v>8</v>
      </c>
      <c r="D61" t="s">
        <v>395</v>
      </c>
      <c r="E61" t="s">
        <v>396</v>
      </c>
      <c r="F61">
        <v>30</v>
      </c>
    </row>
    <row r="62" spans="1:6" hidden="1">
      <c r="A62" s="155">
        <v>43967</v>
      </c>
      <c r="B62" t="s">
        <v>394</v>
      </c>
      <c r="C62">
        <v>9</v>
      </c>
      <c r="D62" t="s">
        <v>395</v>
      </c>
      <c r="E62" t="s">
        <v>396</v>
      </c>
      <c r="F62">
        <v>10</v>
      </c>
    </row>
    <row r="63" spans="1:6" hidden="1">
      <c r="A63" s="155">
        <v>43967</v>
      </c>
      <c r="B63" t="s">
        <v>397</v>
      </c>
      <c r="C63">
        <v>7</v>
      </c>
      <c r="D63" t="s">
        <v>395</v>
      </c>
      <c r="E63" t="s">
        <v>396</v>
      </c>
      <c r="F63">
        <v>20</v>
      </c>
    </row>
    <row r="64" spans="1:6">
      <c r="A64" s="155">
        <v>43967</v>
      </c>
      <c r="B64" t="s">
        <v>398</v>
      </c>
      <c r="C64">
        <v>8</v>
      </c>
      <c r="D64" t="s">
        <v>395</v>
      </c>
      <c r="E64" t="s">
        <v>396</v>
      </c>
      <c r="F64">
        <v>30</v>
      </c>
    </row>
    <row r="65" spans="1:6" hidden="1">
      <c r="A65" s="155">
        <v>43938</v>
      </c>
      <c r="B65" t="s">
        <v>394</v>
      </c>
      <c r="C65">
        <v>10</v>
      </c>
      <c r="D65" t="s">
        <v>395</v>
      </c>
      <c r="E65" t="s">
        <v>396</v>
      </c>
      <c r="F65">
        <v>10</v>
      </c>
    </row>
    <row r="66" spans="1:6" hidden="1">
      <c r="A66" s="155">
        <v>43938</v>
      </c>
      <c r="B66" t="s">
        <v>397</v>
      </c>
      <c r="C66">
        <v>8</v>
      </c>
      <c r="D66" t="s">
        <v>395</v>
      </c>
      <c r="E66" t="s">
        <v>396</v>
      </c>
      <c r="F66">
        <v>20</v>
      </c>
    </row>
    <row r="67" spans="1:6">
      <c r="A67" s="155">
        <v>43938</v>
      </c>
      <c r="B67" t="s">
        <v>398</v>
      </c>
      <c r="C67">
        <v>9</v>
      </c>
      <c r="D67" t="s">
        <v>395</v>
      </c>
      <c r="E67" t="s">
        <v>396</v>
      </c>
      <c r="F67">
        <v>30</v>
      </c>
    </row>
    <row r="68" spans="1:6" hidden="1">
      <c r="A68" s="155">
        <v>43937</v>
      </c>
      <c r="B68" t="s">
        <v>394</v>
      </c>
      <c r="C68">
        <v>10</v>
      </c>
      <c r="D68" t="s">
        <v>395</v>
      </c>
      <c r="E68" t="s">
        <v>396</v>
      </c>
      <c r="F68">
        <v>10</v>
      </c>
    </row>
    <row r="69" spans="1:6" hidden="1">
      <c r="A69" s="155">
        <v>43937</v>
      </c>
      <c r="B69" t="s">
        <v>397</v>
      </c>
      <c r="C69">
        <v>8</v>
      </c>
      <c r="D69" t="s">
        <v>395</v>
      </c>
      <c r="E69" t="s">
        <v>396</v>
      </c>
      <c r="F69">
        <v>20</v>
      </c>
    </row>
    <row r="70" spans="1:6">
      <c r="A70" s="155">
        <v>43937</v>
      </c>
      <c r="B70" t="s">
        <v>398</v>
      </c>
      <c r="C70">
        <v>9</v>
      </c>
      <c r="D70" t="s">
        <v>395</v>
      </c>
      <c r="E70" t="s">
        <v>396</v>
      </c>
      <c r="F70">
        <v>30</v>
      </c>
    </row>
    <row r="71" spans="1:6" hidden="1">
      <c r="A71" s="155">
        <v>43915</v>
      </c>
      <c r="B71" t="s">
        <v>394</v>
      </c>
      <c r="C71">
        <v>12</v>
      </c>
      <c r="D71" t="s">
        <v>395</v>
      </c>
      <c r="E71" t="s">
        <v>396</v>
      </c>
      <c r="F71">
        <v>10</v>
      </c>
    </row>
    <row r="72" spans="1:6" hidden="1">
      <c r="A72" s="155">
        <v>43915</v>
      </c>
      <c r="B72" t="s">
        <v>397</v>
      </c>
      <c r="C72">
        <v>10</v>
      </c>
      <c r="D72" t="s">
        <v>395</v>
      </c>
      <c r="E72" t="s">
        <v>396</v>
      </c>
      <c r="F72">
        <v>20</v>
      </c>
    </row>
    <row r="73" spans="1:6">
      <c r="A73" s="155">
        <v>43915</v>
      </c>
      <c r="B73" t="s">
        <v>398</v>
      </c>
      <c r="C73">
        <v>11</v>
      </c>
      <c r="D73" t="s">
        <v>395</v>
      </c>
      <c r="E73" t="s">
        <v>396</v>
      </c>
      <c r="F73">
        <v>30</v>
      </c>
    </row>
    <row r="74" spans="1:6" hidden="1">
      <c r="A74" s="155">
        <v>43908</v>
      </c>
      <c r="B74" t="s">
        <v>394</v>
      </c>
      <c r="C74">
        <v>13.5</v>
      </c>
      <c r="D74" t="s">
        <v>395</v>
      </c>
      <c r="E74" t="s">
        <v>396</v>
      </c>
      <c r="F74">
        <v>10</v>
      </c>
    </row>
    <row r="75" spans="1:6" hidden="1">
      <c r="A75" s="155">
        <v>43908</v>
      </c>
      <c r="B75" t="s">
        <v>397</v>
      </c>
      <c r="C75">
        <v>11.5</v>
      </c>
      <c r="D75" t="s">
        <v>395</v>
      </c>
      <c r="E75" t="s">
        <v>396</v>
      </c>
      <c r="F75">
        <v>20</v>
      </c>
    </row>
    <row r="76" spans="1:6">
      <c r="A76" s="155">
        <v>43908</v>
      </c>
      <c r="B76" t="s">
        <v>398</v>
      </c>
      <c r="C76">
        <v>12.5</v>
      </c>
      <c r="D76" t="s">
        <v>395</v>
      </c>
      <c r="E76" t="s">
        <v>396</v>
      </c>
      <c r="F76">
        <v>30</v>
      </c>
    </row>
    <row r="77" spans="1:6" hidden="1">
      <c r="A77" s="155">
        <v>43663</v>
      </c>
      <c r="B77" t="s">
        <v>394</v>
      </c>
      <c r="C77">
        <v>13.75</v>
      </c>
      <c r="D77" t="s">
        <v>395</v>
      </c>
      <c r="E77" t="s">
        <v>396</v>
      </c>
      <c r="F77">
        <v>10</v>
      </c>
    </row>
    <row r="78" spans="1:6" hidden="1">
      <c r="A78" s="155">
        <v>43663</v>
      </c>
      <c r="B78" t="s">
        <v>397</v>
      </c>
      <c r="C78">
        <v>11.75</v>
      </c>
      <c r="D78" t="s">
        <v>395</v>
      </c>
      <c r="E78" t="s">
        <v>396</v>
      </c>
      <c r="F78">
        <v>20</v>
      </c>
    </row>
    <row r="79" spans="1:6">
      <c r="A79" s="155">
        <v>43663</v>
      </c>
      <c r="B79" t="s">
        <v>398</v>
      </c>
      <c r="C79">
        <v>13.25</v>
      </c>
      <c r="D79" t="s">
        <v>395</v>
      </c>
      <c r="E79" t="s">
        <v>396</v>
      </c>
      <c r="F79">
        <v>30</v>
      </c>
    </row>
    <row r="80" spans="1:6" hidden="1">
      <c r="A80" s="155">
        <v>43606</v>
      </c>
      <c r="B80" t="s">
        <v>394</v>
      </c>
      <c r="C80">
        <v>12.75</v>
      </c>
      <c r="D80" t="s">
        <v>395</v>
      </c>
      <c r="E80" t="s">
        <v>396</v>
      </c>
      <c r="F80">
        <v>10</v>
      </c>
    </row>
    <row r="81" spans="1:6" hidden="1">
      <c r="A81" s="155">
        <v>43606</v>
      </c>
      <c r="B81" t="s">
        <v>397</v>
      </c>
      <c r="C81">
        <v>10.75</v>
      </c>
      <c r="D81" t="s">
        <v>395</v>
      </c>
      <c r="E81" t="s">
        <v>396</v>
      </c>
      <c r="F81">
        <v>20</v>
      </c>
    </row>
    <row r="82" spans="1:6">
      <c r="A82" s="155">
        <v>43606</v>
      </c>
      <c r="B82" t="s">
        <v>398</v>
      </c>
      <c r="C82">
        <v>12.25</v>
      </c>
      <c r="D82" t="s">
        <v>395</v>
      </c>
      <c r="E82" t="s">
        <v>396</v>
      </c>
      <c r="F82">
        <v>30</v>
      </c>
    </row>
    <row r="83" spans="1:6" hidden="1">
      <c r="A83" s="155">
        <v>43556</v>
      </c>
      <c r="B83" t="s">
        <v>394</v>
      </c>
      <c r="C83">
        <v>11.25</v>
      </c>
      <c r="D83" t="s">
        <v>395</v>
      </c>
      <c r="E83" t="s">
        <v>396</v>
      </c>
      <c r="F83">
        <v>10</v>
      </c>
    </row>
    <row r="84" spans="1:6" hidden="1">
      <c r="A84" s="155">
        <v>43556</v>
      </c>
      <c r="B84" t="s">
        <v>397</v>
      </c>
      <c r="C84">
        <v>9.25</v>
      </c>
      <c r="D84" t="s">
        <v>395</v>
      </c>
      <c r="E84" t="s">
        <v>396</v>
      </c>
      <c r="F84">
        <v>20</v>
      </c>
    </row>
    <row r="85" spans="1:6">
      <c r="A85" s="155">
        <v>43556</v>
      </c>
      <c r="B85" t="s">
        <v>398</v>
      </c>
      <c r="C85">
        <v>10.75</v>
      </c>
      <c r="D85" t="s">
        <v>395</v>
      </c>
      <c r="E85" t="s">
        <v>396</v>
      </c>
      <c r="F85">
        <v>30</v>
      </c>
    </row>
    <row r="86" spans="1:6" hidden="1">
      <c r="A86" s="155">
        <v>43497</v>
      </c>
      <c r="B86" t="s">
        <v>394</v>
      </c>
      <c r="C86">
        <v>10.75</v>
      </c>
      <c r="D86" t="s">
        <v>395</v>
      </c>
      <c r="E86" t="s">
        <v>396</v>
      </c>
      <c r="F86">
        <v>10</v>
      </c>
    </row>
    <row r="87" spans="1:6" hidden="1">
      <c r="A87" s="155">
        <v>43497</v>
      </c>
      <c r="B87" t="s">
        <v>397</v>
      </c>
      <c r="C87">
        <v>8.75</v>
      </c>
      <c r="D87" t="s">
        <v>395</v>
      </c>
      <c r="E87" t="s">
        <v>396</v>
      </c>
      <c r="F87">
        <v>20</v>
      </c>
    </row>
    <row r="88" spans="1:6">
      <c r="A88" s="155">
        <v>43497</v>
      </c>
      <c r="B88" t="s">
        <v>398</v>
      </c>
      <c r="C88">
        <v>10.25</v>
      </c>
      <c r="D88" t="s">
        <v>395</v>
      </c>
      <c r="E88" t="s">
        <v>396</v>
      </c>
      <c r="F88">
        <v>30</v>
      </c>
    </row>
    <row r="89" spans="1:6" hidden="1">
      <c r="A89" s="155">
        <v>43437</v>
      </c>
      <c r="B89" t="s">
        <v>394</v>
      </c>
      <c r="C89">
        <v>10.5</v>
      </c>
      <c r="D89" t="s">
        <v>395</v>
      </c>
      <c r="E89" t="s">
        <v>396</v>
      </c>
      <c r="F89">
        <v>10</v>
      </c>
    </row>
    <row r="90" spans="1:6" hidden="1">
      <c r="A90" s="155">
        <v>43437</v>
      </c>
      <c r="B90" t="s">
        <v>397</v>
      </c>
      <c r="C90">
        <v>8.5</v>
      </c>
      <c r="D90" t="s">
        <v>395</v>
      </c>
      <c r="E90" t="s">
        <v>396</v>
      </c>
      <c r="F90">
        <v>20</v>
      </c>
    </row>
    <row r="91" spans="1:6">
      <c r="A91" s="155">
        <v>43437</v>
      </c>
      <c r="B91" t="s">
        <v>398</v>
      </c>
      <c r="C91">
        <v>10</v>
      </c>
      <c r="D91" t="s">
        <v>395</v>
      </c>
      <c r="E91" t="s">
        <v>396</v>
      </c>
      <c r="F91">
        <v>30</v>
      </c>
    </row>
    <row r="95" spans="1:6">
      <c r="A95" s="33" t="s">
        <v>399</v>
      </c>
      <c r="B95" s="33" t="s">
        <v>400</v>
      </c>
      <c r="C95" s="33" t="s">
        <v>401</v>
      </c>
      <c r="D95" s="167" t="s">
        <v>402</v>
      </c>
    </row>
    <row r="96" spans="1:6">
      <c r="A96" s="157">
        <v>45657</v>
      </c>
      <c r="B96" s="158">
        <v>0.13</v>
      </c>
      <c r="C96" s="159">
        <f>A96-A97+1</f>
        <v>15</v>
      </c>
      <c r="D96" s="161">
        <f t="shared" ref="D96:D101" si="0">(B96*C96)</f>
        <v>1.9500000000000002</v>
      </c>
    </row>
    <row r="97" spans="1:4">
      <c r="A97" s="160">
        <v>45643</v>
      </c>
      <c r="B97" s="156">
        <v>0.13</v>
      </c>
      <c r="C97">
        <f>A97-A98</f>
        <v>42</v>
      </c>
      <c r="D97" s="161">
        <f t="shared" si="0"/>
        <v>5.46</v>
      </c>
    </row>
    <row r="98" spans="1:4">
      <c r="A98" s="160">
        <v>45601</v>
      </c>
      <c r="B98" s="156">
        <v>0.15</v>
      </c>
      <c r="C98">
        <f>A98-A99</f>
        <v>53</v>
      </c>
      <c r="D98" s="161">
        <f t="shared" si="0"/>
        <v>7.9499999999999993</v>
      </c>
    </row>
    <row r="99" spans="1:4">
      <c r="A99" s="160">
        <v>45548</v>
      </c>
      <c r="B99" s="156">
        <v>0.17499999999999999</v>
      </c>
      <c r="C99">
        <f>A99-A100</f>
        <v>45</v>
      </c>
      <c r="D99" s="161">
        <f t="shared" si="0"/>
        <v>7.8749999999999991</v>
      </c>
    </row>
    <row r="100" spans="1:4">
      <c r="A100" s="160">
        <v>45503</v>
      </c>
      <c r="B100" s="156">
        <v>0.19500000000000001</v>
      </c>
      <c r="C100">
        <f>A100-A101</f>
        <v>49</v>
      </c>
      <c r="D100" s="161">
        <f t="shared" si="0"/>
        <v>9.5549999999999997</v>
      </c>
    </row>
    <row r="101" spans="1:4">
      <c r="A101" s="160">
        <v>45454</v>
      </c>
      <c r="B101" s="156">
        <v>0.20499999999999999</v>
      </c>
      <c r="C101">
        <f>A101-A102</f>
        <v>162</v>
      </c>
      <c r="D101" s="161">
        <f t="shared" si="0"/>
        <v>33.21</v>
      </c>
    </row>
    <row r="102" spans="1:4">
      <c r="A102" s="162">
        <v>45292</v>
      </c>
      <c r="B102" s="163">
        <v>0.22</v>
      </c>
      <c r="C102" s="45"/>
      <c r="D102" s="164"/>
    </row>
    <row r="103" spans="1:4">
      <c r="A103" s="165"/>
      <c r="B103" s="166"/>
      <c r="C103" s="166">
        <f>SUM(C96:C102)</f>
        <v>366</v>
      </c>
      <c r="D103" s="168">
        <f>SUM(D96:D102)/C103</f>
        <v>0.18032786885245902</v>
      </c>
    </row>
    <row r="105" spans="1:4">
      <c r="A105" s="33" t="s">
        <v>399</v>
      </c>
      <c r="B105" s="33" t="s">
        <v>400</v>
      </c>
      <c r="C105" s="33" t="s">
        <v>401</v>
      </c>
      <c r="D105" s="167" t="s">
        <v>402</v>
      </c>
    </row>
    <row r="106" spans="1:4">
      <c r="A106" s="157">
        <v>45291</v>
      </c>
      <c r="B106" s="156">
        <v>0.22</v>
      </c>
      <c r="C106" s="159">
        <f>A106-A107+1</f>
        <v>188</v>
      </c>
      <c r="D106" s="161">
        <f>(B106*C106)</f>
        <v>41.36</v>
      </c>
    </row>
    <row r="107" spans="1:4">
      <c r="A107" s="160">
        <v>45104</v>
      </c>
      <c r="B107" s="156">
        <v>0.22</v>
      </c>
      <c r="C107">
        <f>A107-A108</f>
        <v>83</v>
      </c>
      <c r="D107" s="161">
        <f>(B107*C107)</f>
        <v>18.260000000000002</v>
      </c>
    </row>
    <row r="108" spans="1:4">
      <c r="A108" s="160">
        <v>45021</v>
      </c>
      <c r="B108" s="156">
        <v>0.21</v>
      </c>
      <c r="C108">
        <f>A108-A109</f>
        <v>33</v>
      </c>
      <c r="D108" s="161">
        <f>(B108*C108)</f>
        <v>6.93</v>
      </c>
    </row>
    <row r="109" spans="1:4">
      <c r="A109" s="160">
        <v>44988</v>
      </c>
      <c r="B109" s="156">
        <v>0.2</v>
      </c>
      <c r="C109">
        <f>A109-A110</f>
        <v>38</v>
      </c>
      <c r="D109" s="161">
        <f>(B109*C109)</f>
        <v>7.6000000000000005</v>
      </c>
    </row>
    <row r="110" spans="1:4">
      <c r="A110" s="160">
        <v>44950</v>
      </c>
      <c r="B110" s="156">
        <v>0.17</v>
      </c>
      <c r="C110">
        <f>A110-A111</f>
        <v>23</v>
      </c>
      <c r="D110" s="161">
        <f>(B110*C110)</f>
        <v>3.91</v>
      </c>
    </row>
    <row r="111" spans="1:4">
      <c r="A111" s="162">
        <v>44927</v>
      </c>
      <c r="B111" s="156">
        <v>0.16</v>
      </c>
      <c r="C111" s="45"/>
      <c r="D111" s="164"/>
    </row>
    <row r="112" spans="1:4">
      <c r="A112" s="165"/>
      <c r="B112" s="166"/>
      <c r="C112" s="166">
        <f>SUM(C106:C111)</f>
        <v>365</v>
      </c>
      <c r="D112" s="168">
        <f>SUM(D106:D111)/C112</f>
        <v>0.21386301369863014</v>
      </c>
    </row>
    <row r="114" spans="1:4">
      <c r="A114" s="33" t="s">
        <v>399</v>
      </c>
      <c r="B114" s="33" t="s">
        <v>400</v>
      </c>
      <c r="C114" s="33" t="s">
        <v>401</v>
      </c>
      <c r="D114" s="167" t="s">
        <v>402</v>
      </c>
    </row>
    <row r="115" spans="1:4">
      <c r="A115" s="157">
        <v>44926</v>
      </c>
      <c r="B115" s="156">
        <v>0.16</v>
      </c>
      <c r="C115" s="159">
        <f>A115-A116+1</f>
        <v>34</v>
      </c>
      <c r="D115" s="161">
        <f>(B115*C115)</f>
        <v>5.44</v>
      </c>
    </row>
    <row r="116" spans="1:4">
      <c r="A116" s="160">
        <v>44893</v>
      </c>
      <c r="B116" s="156">
        <v>0.16</v>
      </c>
      <c r="C116">
        <f>A116-A117</f>
        <v>138</v>
      </c>
      <c r="D116" s="161">
        <f>(B116*C116)</f>
        <v>22.080000000000002</v>
      </c>
    </row>
    <row r="117" spans="1:4">
      <c r="A117" s="160">
        <v>44755</v>
      </c>
      <c r="B117" s="156">
        <v>0.15</v>
      </c>
      <c r="C117">
        <f>A117-A118</f>
        <v>50</v>
      </c>
      <c r="D117" s="161">
        <f>(B117*C117)</f>
        <v>7.5</v>
      </c>
    </row>
    <row r="118" spans="1:4">
      <c r="A118" s="160">
        <v>44705</v>
      </c>
      <c r="B118" s="156">
        <v>0.13750000000000001</v>
      </c>
      <c r="C118">
        <f>A118-A119</f>
        <v>46</v>
      </c>
      <c r="D118" s="161">
        <f>(B118*C118)</f>
        <v>6.3250000000000002</v>
      </c>
    </row>
    <row r="119" spans="1:4">
      <c r="A119" s="160">
        <v>44659</v>
      </c>
      <c r="B119" s="156">
        <v>0.1225</v>
      </c>
      <c r="C119">
        <f>A119-A120</f>
        <v>97</v>
      </c>
      <c r="D119" s="161">
        <f>(B119*C119)</f>
        <v>11.8825</v>
      </c>
    </row>
    <row r="120" spans="1:4">
      <c r="A120" s="162">
        <v>44562</v>
      </c>
      <c r="B120" s="163">
        <v>9.7500000000000003E-2</v>
      </c>
      <c r="C120" s="45"/>
      <c r="D120" s="164"/>
    </row>
    <row r="121" spans="1:4">
      <c r="A121" s="165"/>
      <c r="B121" s="166"/>
      <c r="C121" s="166">
        <f>SUM(C115:C120)</f>
        <v>365</v>
      </c>
      <c r="D121" s="168">
        <f>SUM(D115:D120)/C121</f>
        <v>0.14582876712328768</v>
      </c>
    </row>
    <row r="123" spans="1:4">
      <c r="A123" s="33" t="s">
        <v>399</v>
      </c>
      <c r="B123" s="33" t="s">
        <v>400</v>
      </c>
      <c r="C123" s="33" t="s">
        <v>401</v>
      </c>
      <c r="D123" s="167" t="s">
        <v>402</v>
      </c>
    </row>
    <row r="124" spans="1:4">
      <c r="A124" s="157">
        <v>44561</v>
      </c>
      <c r="B124" s="156">
        <v>9.7500000000000003E-2</v>
      </c>
      <c r="C124" s="159">
        <f>A124-A125+1</f>
        <v>17</v>
      </c>
      <c r="D124" s="161">
        <f>(B124*C124)</f>
        <v>1.6575</v>
      </c>
    </row>
    <row r="125" spans="1:4">
      <c r="A125" s="160">
        <v>44545</v>
      </c>
      <c r="B125" s="156">
        <v>9.7500000000000003E-2</v>
      </c>
      <c r="C125">
        <f>A125-A126</f>
        <v>23</v>
      </c>
      <c r="D125" s="161">
        <f>(B125*C125)</f>
        <v>2.2425000000000002</v>
      </c>
    </row>
    <row r="126" spans="1:4">
      <c r="A126" s="160">
        <v>44522</v>
      </c>
      <c r="B126" s="156">
        <v>8.7499999999999994E-2</v>
      </c>
      <c r="C126">
        <f>A126-A127</f>
        <v>62</v>
      </c>
      <c r="D126" s="161">
        <f>(B126*C126)</f>
        <v>5.4249999999999998</v>
      </c>
    </row>
    <row r="127" spans="1:4">
      <c r="A127" s="160">
        <v>44460</v>
      </c>
      <c r="B127" s="156">
        <v>7.2499999999999995E-2</v>
      </c>
      <c r="C127">
        <f>A127-A128</f>
        <v>263</v>
      </c>
      <c r="D127" s="161">
        <f>(B127*C127)</f>
        <v>19.067499999999999</v>
      </c>
    </row>
    <row r="128" spans="1:4">
      <c r="A128" s="162">
        <v>44197</v>
      </c>
      <c r="B128" s="163">
        <v>7.0000000000000007E-2</v>
      </c>
      <c r="C128" s="45"/>
      <c r="D128" s="164"/>
    </row>
    <row r="129" spans="1:4">
      <c r="A129" s="165"/>
      <c r="B129" s="166"/>
      <c r="C129" s="166">
        <f>SUM(C124:C128)</f>
        <v>365</v>
      </c>
      <c r="D129" s="168">
        <f>SUM(D124:D128)/C129</f>
        <v>7.7787671232876707E-2</v>
      </c>
    </row>
    <row r="131" spans="1:4">
      <c r="A131" s="33" t="s">
        <v>399</v>
      </c>
      <c r="B131" s="33" t="s">
        <v>400</v>
      </c>
      <c r="C131" s="33" t="s">
        <v>401</v>
      </c>
      <c r="D131" s="167" t="s">
        <v>402</v>
      </c>
    </row>
    <row r="132" spans="1:4">
      <c r="A132" s="157">
        <v>44196</v>
      </c>
      <c r="B132" s="156">
        <v>7.0000000000000007E-2</v>
      </c>
      <c r="C132" s="159">
        <f>A132-A133+1</f>
        <v>189</v>
      </c>
      <c r="D132" s="161">
        <f>(B132*C132)</f>
        <v>13.23</v>
      </c>
    </row>
    <row r="133" spans="1:4">
      <c r="A133" s="160">
        <v>44008</v>
      </c>
      <c r="B133" s="156">
        <v>7.0000000000000007E-2</v>
      </c>
      <c r="C133">
        <f t="shared" ref="C133:C139" si="1">A133-A134</f>
        <v>39</v>
      </c>
      <c r="D133" s="161">
        <f t="shared" ref="D133:D139" si="2">(B133*C133)</f>
        <v>2.7300000000000004</v>
      </c>
    </row>
    <row r="134" spans="1:4">
      <c r="A134" s="160">
        <v>43969</v>
      </c>
      <c r="B134" s="156">
        <v>0.08</v>
      </c>
      <c r="C134">
        <f t="shared" si="1"/>
        <v>2</v>
      </c>
      <c r="D134" s="161">
        <f t="shared" si="2"/>
        <v>0.16</v>
      </c>
    </row>
    <row r="135" spans="1:4">
      <c r="A135" s="160">
        <v>43967</v>
      </c>
      <c r="B135" s="156">
        <v>0.08</v>
      </c>
      <c r="C135">
        <f t="shared" si="1"/>
        <v>29</v>
      </c>
      <c r="D135" s="161">
        <f t="shared" si="2"/>
        <v>2.3199999999999998</v>
      </c>
    </row>
    <row r="136" spans="1:4">
      <c r="A136" s="160">
        <v>43938</v>
      </c>
      <c r="B136" s="156">
        <v>0.09</v>
      </c>
      <c r="C136">
        <f t="shared" si="1"/>
        <v>1</v>
      </c>
      <c r="D136" s="161">
        <f t="shared" si="2"/>
        <v>0.09</v>
      </c>
    </row>
    <row r="137" spans="1:4">
      <c r="A137" s="160">
        <v>43937</v>
      </c>
      <c r="B137" s="156">
        <v>0.09</v>
      </c>
      <c r="C137">
        <f t="shared" si="1"/>
        <v>22</v>
      </c>
      <c r="D137" s="161">
        <f t="shared" si="2"/>
        <v>1.98</v>
      </c>
    </row>
    <row r="138" spans="1:4">
      <c r="A138" s="160">
        <v>43915</v>
      </c>
      <c r="B138" s="156">
        <v>0.11</v>
      </c>
      <c r="C138">
        <f t="shared" si="1"/>
        <v>7</v>
      </c>
      <c r="D138" s="161">
        <f t="shared" si="2"/>
        <v>0.77</v>
      </c>
    </row>
    <row r="139" spans="1:4">
      <c r="A139" s="160">
        <v>43908</v>
      </c>
      <c r="B139" s="156">
        <v>0.125</v>
      </c>
      <c r="C139">
        <f t="shared" si="1"/>
        <v>77</v>
      </c>
      <c r="D139" s="161">
        <f t="shared" si="2"/>
        <v>9.625</v>
      </c>
    </row>
    <row r="140" spans="1:4">
      <c r="A140" s="162">
        <v>43831</v>
      </c>
      <c r="B140" s="163">
        <v>0.13250000000000001</v>
      </c>
      <c r="C140" s="45"/>
      <c r="D140" s="164"/>
    </row>
    <row r="141" spans="1:4">
      <c r="A141" s="165"/>
      <c r="B141" s="166"/>
      <c r="C141" s="166">
        <f>SUM(C132:C140)</f>
        <v>366</v>
      </c>
      <c r="D141" s="168">
        <f>SUM(D132:D140)/C141</f>
        <v>8.443989071038252E-2</v>
      </c>
    </row>
    <row r="143" spans="1:4">
      <c r="A143" s="33" t="s">
        <v>399</v>
      </c>
      <c r="B143" s="33" t="s">
        <v>400</v>
      </c>
      <c r="C143" s="33" t="s">
        <v>401</v>
      </c>
      <c r="D143" s="167" t="s">
        <v>402</v>
      </c>
    </row>
    <row r="144" spans="1:4">
      <c r="A144" s="157">
        <v>43830</v>
      </c>
      <c r="B144" s="156">
        <v>0.13250000000000001</v>
      </c>
      <c r="C144" s="159">
        <f>A144-A145+1</f>
        <v>168</v>
      </c>
      <c r="D144" s="161">
        <f>(B144*C144)</f>
        <v>22.26</v>
      </c>
    </row>
    <row r="145" spans="1:4">
      <c r="A145" s="160">
        <v>43663</v>
      </c>
      <c r="B145" s="156">
        <v>0.13250000000000001</v>
      </c>
      <c r="C145">
        <f>A145-A146</f>
        <v>57</v>
      </c>
      <c r="D145" s="161">
        <f>(B145*C145)</f>
        <v>7.5525000000000002</v>
      </c>
    </row>
    <row r="146" spans="1:4">
      <c r="A146" s="160">
        <v>43606</v>
      </c>
      <c r="B146" s="156">
        <v>0.1225</v>
      </c>
      <c r="C146">
        <f>A146-A147</f>
        <v>50</v>
      </c>
      <c r="D146" s="161">
        <f>(B146*C146)</f>
        <v>6.125</v>
      </c>
    </row>
    <row r="147" spans="1:4">
      <c r="A147" s="160">
        <v>43556</v>
      </c>
      <c r="B147" s="156">
        <v>0.1075</v>
      </c>
      <c r="C147">
        <f>A147-A148</f>
        <v>59</v>
      </c>
      <c r="D147" s="161">
        <f>(B147*C147)</f>
        <v>6.3425000000000002</v>
      </c>
    </row>
    <row r="148" spans="1:4">
      <c r="A148" s="160">
        <v>43497</v>
      </c>
      <c r="B148" s="156">
        <v>0.10249999999999999</v>
      </c>
      <c r="C148">
        <f>A148-A149</f>
        <v>31</v>
      </c>
      <c r="D148" s="161">
        <f>(B148*C148)</f>
        <v>3.1774999999999998</v>
      </c>
    </row>
    <row r="149" spans="1:4">
      <c r="A149" s="162">
        <v>43466</v>
      </c>
      <c r="B149" s="163">
        <v>0.1</v>
      </c>
      <c r="C149" s="45"/>
      <c r="D149" s="164"/>
    </row>
    <row r="150" spans="1:4">
      <c r="A150" s="165"/>
      <c r="B150" s="166"/>
      <c r="C150" s="166">
        <f>SUM(C144:C149)</f>
        <v>365</v>
      </c>
      <c r="D150" s="168">
        <f>SUM(D144:D149)/C150</f>
        <v>0.12454109589041097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C3EF-BFBC-426C-959D-46548E0C3DE0}">
  <dimension ref="A1:V39"/>
  <sheetViews>
    <sheetView showGridLines="0" zoomScale="85" zoomScaleNormal="85" workbookViewId="0">
      <pane xSplit="1" topLeftCell="B1" activePane="topRight" state="frozen"/>
      <selection pane="topRight" activeCell="C27" sqref="C27:J27"/>
    </sheetView>
  </sheetViews>
  <sheetFormatPr defaultRowHeight="14.45"/>
  <cols>
    <col min="1" max="1" width="47.7109375" bestFit="1" customWidth="1"/>
    <col min="3" max="3" width="18.140625" customWidth="1"/>
    <col min="4" max="4" width="20" bestFit="1" customWidth="1"/>
    <col min="6" max="6" width="17.7109375" bestFit="1" customWidth="1"/>
    <col min="7" max="7" width="23.85546875" bestFit="1" customWidth="1"/>
    <col min="9" max="9" width="19.5703125" bestFit="1" customWidth="1"/>
    <col min="10" max="10" width="23.85546875" bestFit="1" customWidth="1"/>
    <col min="12" max="12" width="20.28515625" customWidth="1"/>
    <col min="13" max="13" width="23.85546875" bestFit="1" customWidth="1"/>
    <col min="15" max="15" width="14.85546875" customWidth="1"/>
    <col min="16" max="16" width="23.85546875" bestFit="1" customWidth="1"/>
    <col min="18" max="18" width="16.42578125" customWidth="1"/>
    <col min="19" max="19" width="19.28515625" customWidth="1"/>
    <col min="21" max="21" width="15.28515625" customWidth="1"/>
    <col min="22" max="22" width="16.28515625" customWidth="1"/>
  </cols>
  <sheetData>
    <row r="1" spans="1:22">
      <c r="A1" s="33" t="s">
        <v>403</v>
      </c>
      <c r="C1" s="324" t="s">
        <v>404</v>
      </c>
      <c r="D1" s="324"/>
      <c r="E1" s="324"/>
      <c r="F1" s="324"/>
      <c r="G1" s="324"/>
      <c r="H1" s="324"/>
      <c r="I1" s="324"/>
      <c r="J1" s="324"/>
    </row>
    <row r="2" spans="1:22">
      <c r="C2" s="37" t="s">
        <v>1</v>
      </c>
      <c r="D2" s="37" t="s">
        <v>405</v>
      </c>
      <c r="F2" s="37" t="s">
        <v>1</v>
      </c>
      <c r="G2" s="37" t="s">
        <v>406</v>
      </c>
      <c r="I2" s="37" t="s">
        <v>1</v>
      </c>
      <c r="J2" s="37" t="s">
        <v>406</v>
      </c>
      <c r="L2" s="33" t="s">
        <v>1</v>
      </c>
      <c r="M2" s="37" t="s">
        <v>406</v>
      </c>
      <c r="O2" s="33" t="s">
        <v>1</v>
      </c>
      <c r="P2" s="37" t="s">
        <v>406</v>
      </c>
      <c r="R2" s="33" t="s">
        <v>1</v>
      </c>
      <c r="S2" s="37" t="s">
        <v>406</v>
      </c>
      <c r="U2" s="33" t="s">
        <v>1</v>
      </c>
      <c r="V2" s="37"/>
    </row>
    <row r="3" spans="1:22">
      <c r="A3" s="33" t="s">
        <v>407</v>
      </c>
      <c r="C3" s="37" t="s">
        <v>3</v>
      </c>
      <c r="D3" s="37" t="s">
        <v>408</v>
      </c>
      <c r="E3" s="4"/>
      <c r="F3" s="37">
        <v>24</v>
      </c>
      <c r="G3" s="37"/>
      <c r="H3" s="9"/>
      <c r="I3" s="37">
        <v>23</v>
      </c>
      <c r="J3" s="37"/>
      <c r="K3" s="9"/>
      <c r="L3" s="36">
        <v>22</v>
      </c>
      <c r="M3" s="37"/>
      <c r="N3" s="9"/>
      <c r="O3" s="36">
        <v>21</v>
      </c>
      <c r="P3" s="37"/>
      <c r="R3" s="36">
        <v>20</v>
      </c>
      <c r="S3" s="37"/>
      <c r="U3" s="36">
        <v>19</v>
      </c>
      <c r="V3" s="37"/>
    </row>
    <row r="4" spans="1:22">
      <c r="A4" t="s">
        <v>409</v>
      </c>
      <c r="C4" s="7">
        <f>(1+D4)*F4</f>
        <v>9375950801.3979626</v>
      </c>
      <c r="D4" s="141">
        <f>(PRODUCT(1+G4,1+J4,1+M4,1+P4,1+S4)^(1/5))-1</f>
        <v>0.1064643300743402</v>
      </c>
      <c r="F4" s="5">
        <f>12304672000-2101528000-F11</f>
        <v>8473794000</v>
      </c>
      <c r="G4" s="3">
        <f>F4/I4-1</f>
        <v>0.29398183036759362</v>
      </c>
      <c r="I4" s="63">
        <f>(8878428-1924342)*1000-I11</f>
        <v>6548619000</v>
      </c>
      <c r="J4" s="3">
        <f>I4/L4-1</f>
        <v>-7.9819005621611927E-3</v>
      </c>
      <c r="L4" s="63">
        <f>(9022077-1756988)*1000-L11</f>
        <v>6601310000</v>
      </c>
      <c r="M4" s="3">
        <f>L4/O4-1</f>
        <v>0.15011832543248493</v>
      </c>
      <c r="O4" s="63">
        <f>(7731109-1653957)*1000-O11</f>
        <v>5739679000</v>
      </c>
      <c r="P4" s="3">
        <f>O4/R4-1</f>
        <v>0.15881802834054026</v>
      </c>
      <c r="R4" s="63">
        <f>(6421776-1238574)*1000-R11</f>
        <v>4953046000</v>
      </c>
      <c r="S4" s="3">
        <f>R4/U4-1</f>
        <v>-3.0647915726451536E-2</v>
      </c>
      <c r="U4" s="63">
        <f>(6356658-1247012)*1000</f>
        <v>5109646000</v>
      </c>
    </row>
    <row r="5" spans="1:22">
      <c r="A5" t="s">
        <v>410</v>
      </c>
      <c r="C5" s="7">
        <f t="shared" ref="C5:C12" si="0">(1+D5)*F5</f>
        <v>683176463.69461238</v>
      </c>
      <c r="D5" s="141">
        <f t="shared" ref="D5:D13" si="1">(PRODUCT(1+G5,1+J5,1+M5,1+P5,1+S5)^(1/5))-1</f>
        <v>7.7568799419891477E-2</v>
      </c>
      <c r="F5" s="5">
        <f>677718000-43720000</f>
        <v>633998000</v>
      </c>
      <c r="G5" s="3">
        <f t="shared" ref="G5:G13" si="2">F5/I5-1</f>
        <v>0.25187930581691309</v>
      </c>
      <c r="I5" s="63">
        <f>(537795-31358)*1000</f>
        <v>506437000</v>
      </c>
      <c r="J5" s="3">
        <f t="shared" ref="J5:J13" si="3">I5/L5-1</f>
        <v>2.5834391704798509E-2</v>
      </c>
      <c r="L5" s="63">
        <f>(532580-38897)*1000</f>
        <v>493683000</v>
      </c>
      <c r="M5" s="3">
        <f t="shared" ref="M5:M13" si="4">L5/O5-1</f>
        <v>3.7467374446784163E-2</v>
      </c>
      <c r="O5" s="63">
        <f>(518631-42777)*1000</f>
        <v>475854000</v>
      </c>
      <c r="P5" s="3">
        <f t="shared" ref="P5:P13" si="5">O5/R5-1</f>
        <v>0.1334498890021627</v>
      </c>
      <c r="R5" s="63">
        <f>(460690-40862)*1000</f>
        <v>419828000</v>
      </c>
      <c r="S5" s="3">
        <f t="shared" ref="S5:S13" si="6">R5/U5-1</f>
        <v>-3.7925834941266556E-2</v>
      </c>
      <c r="U5" s="63">
        <f>(480009-43631)*1000</f>
        <v>436378000</v>
      </c>
    </row>
    <row r="6" spans="1:22">
      <c r="A6" t="s">
        <v>411</v>
      </c>
      <c r="C6" s="7">
        <f t="shared" si="0"/>
        <v>641647352.98878348</v>
      </c>
      <c r="D6" s="141">
        <f t="shared" si="1"/>
        <v>0.10916088385574962</v>
      </c>
      <c r="F6" s="5">
        <v>578498000</v>
      </c>
      <c r="G6" s="3">
        <f t="shared" si="2"/>
        <v>0.15302957825081709</v>
      </c>
      <c r="I6" s="63">
        <v>501720000</v>
      </c>
      <c r="J6" s="3">
        <f t="shared" si="3"/>
        <v>0.11859486719863011</v>
      </c>
      <c r="L6" s="63">
        <v>448527000</v>
      </c>
      <c r="M6" s="3">
        <f t="shared" si="4"/>
        <v>0.10789261128278094</v>
      </c>
      <c r="O6" s="63">
        <v>404847000</v>
      </c>
      <c r="P6" s="3">
        <f t="shared" si="5"/>
        <v>0.19764108662661184</v>
      </c>
      <c r="R6" s="63">
        <v>338037000</v>
      </c>
      <c r="S6" s="3">
        <f t="shared" si="6"/>
        <v>-1.9076582001154918E-2</v>
      </c>
      <c r="U6" s="63">
        <v>344611000</v>
      </c>
    </row>
    <row r="7" spans="1:22">
      <c r="A7" t="s">
        <v>412</v>
      </c>
      <c r="C7" s="7">
        <f t="shared" si="0"/>
        <v>973709781.4574635</v>
      </c>
      <c r="D7" s="141">
        <f t="shared" si="1"/>
        <v>9.2532526507940638E-2</v>
      </c>
      <c r="F7" s="5">
        <v>891241000</v>
      </c>
      <c r="G7" s="3">
        <f t="shared" si="2"/>
        <v>9.380626332370734E-2</v>
      </c>
      <c r="I7" s="63">
        <v>814807000</v>
      </c>
      <c r="J7" s="3">
        <f t="shared" si="3"/>
        <v>-9.0523803783424173E-2</v>
      </c>
      <c r="L7" s="63">
        <v>895908000</v>
      </c>
      <c r="M7" s="3">
        <f t="shared" si="4"/>
        <v>9.1335659156466908E-2</v>
      </c>
      <c r="O7" s="63">
        <v>820928000</v>
      </c>
      <c r="P7" s="3">
        <f t="shared" si="5"/>
        <v>0.29233801459950537</v>
      </c>
      <c r="R7" s="63">
        <v>635227000</v>
      </c>
      <c r="S7" s="3">
        <f t="shared" si="6"/>
        <v>0.1094447248599717</v>
      </c>
      <c r="U7" s="63">
        <v>572563000</v>
      </c>
    </row>
    <row r="8" spans="1:22">
      <c r="A8" t="s">
        <v>413</v>
      </c>
      <c r="C8" s="7">
        <f t="shared" si="0"/>
        <v>1562627613.0415065</v>
      </c>
      <c r="D8" s="141">
        <f t="shared" si="1"/>
        <v>0.11825291494279422</v>
      </c>
      <c r="F8" s="5">
        <v>1397383000</v>
      </c>
      <c r="G8" s="3">
        <f t="shared" si="2"/>
        <v>-6.8901652928977652E-3</v>
      </c>
      <c r="I8" s="63">
        <v>1407078000</v>
      </c>
      <c r="J8" s="3">
        <f t="shared" si="3"/>
        <v>0.11590581230188213</v>
      </c>
      <c r="L8" s="63">
        <v>1260929000</v>
      </c>
      <c r="M8" s="3">
        <f t="shared" si="4"/>
        <v>0.27263340946686676</v>
      </c>
      <c r="O8" s="63">
        <v>990803000</v>
      </c>
      <c r="P8" s="3">
        <f t="shared" si="5"/>
        <v>0.18887704975077813</v>
      </c>
      <c r="R8" s="63">
        <v>833394000</v>
      </c>
      <c r="S8" s="3">
        <f t="shared" si="6"/>
        <v>4.2881848419398239E-2</v>
      </c>
      <c r="U8" s="63">
        <v>799126000</v>
      </c>
    </row>
    <row r="9" spans="1:22">
      <c r="A9" t="s">
        <v>414</v>
      </c>
      <c r="C9" s="7">
        <f t="shared" si="0"/>
        <v>437333878.32197583</v>
      </c>
      <c r="D9" s="141">
        <f t="shared" si="1"/>
        <v>0.19383794303974011</v>
      </c>
      <c r="F9" s="5">
        <v>366326000</v>
      </c>
      <c r="G9" s="3">
        <f t="shared" si="2"/>
        <v>0.20870150524294395</v>
      </c>
      <c r="I9" s="63">
        <v>303074000</v>
      </c>
      <c r="J9" s="3">
        <f t="shared" si="3"/>
        <v>0.24490248591098029</v>
      </c>
      <c r="L9" s="63">
        <v>243452000</v>
      </c>
      <c r="M9" s="3">
        <f t="shared" si="4"/>
        <v>0.22770779332116309</v>
      </c>
      <c r="O9" s="63">
        <v>198298000</v>
      </c>
      <c r="P9" s="3">
        <f t="shared" si="5"/>
        <v>0.20916363813751548</v>
      </c>
      <c r="R9" s="63">
        <v>163996000</v>
      </c>
      <c r="S9" s="3">
        <f t="shared" si="6"/>
        <v>8.5656407846044891E-2</v>
      </c>
      <c r="U9" s="63">
        <v>151057000</v>
      </c>
    </row>
    <row r="10" spans="1:22">
      <c r="A10" t="s">
        <v>415</v>
      </c>
      <c r="C10" s="7">
        <f t="shared" si="0"/>
        <v>2374716560.3036442</v>
      </c>
      <c r="D10" s="141">
        <f t="shared" si="1"/>
        <v>0.10696598262934831</v>
      </c>
      <c r="F10" s="5">
        <f>2101528000+43720000</f>
        <v>2145248000</v>
      </c>
      <c r="G10" s="3">
        <f t="shared" si="2"/>
        <v>9.6920795623050671E-2</v>
      </c>
      <c r="I10">
        <f>(1924342+31358)*1000</f>
        <v>1955700000</v>
      </c>
      <c r="J10" s="3">
        <f t="shared" si="3"/>
        <v>8.8989551112682586E-2</v>
      </c>
      <c r="L10">
        <f>(1756988+38897)*1000</f>
        <v>1795885000</v>
      </c>
      <c r="M10" s="3">
        <f t="shared" si="4"/>
        <v>5.8436384253512941E-2</v>
      </c>
      <c r="O10">
        <f>(1653957+42777)*1000</f>
        <v>1696734000</v>
      </c>
      <c r="P10" s="3">
        <f t="shared" si="5"/>
        <v>0.32615777576994853</v>
      </c>
      <c r="R10">
        <f>(1238574+40862)*1000</f>
        <v>1279436000</v>
      </c>
      <c r="S10" s="3">
        <f t="shared" si="6"/>
        <v>-8.6832687272933029E-3</v>
      </c>
      <c r="U10">
        <f>(1247012+43631)*1000</f>
        <v>1290643000</v>
      </c>
    </row>
    <row r="11" spans="1:22">
      <c r="A11" t="s">
        <v>416</v>
      </c>
      <c r="C11" s="7">
        <f t="shared" si="0"/>
        <v>2541905382.2047629</v>
      </c>
      <c r="D11" s="141">
        <f t="shared" si="1"/>
        <v>0.46986172966997031</v>
      </c>
      <c r="F11" s="5">
        <v>1729350000</v>
      </c>
      <c r="G11" s="3">
        <f t="shared" si="2"/>
        <v>3.2650819918760341</v>
      </c>
      <c r="I11" s="63">
        <v>405467000</v>
      </c>
      <c r="J11" s="3">
        <f t="shared" si="3"/>
        <v>-0.38915361890026645</v>
      </c>
      <c r="L11" s="63">
        <v>663779000</v>
      </c>
      <c r="M11" s="3">
        <f t="shared" si="4"/>
        <v>0.96690994538822372</v>
      </c>
      <c r="O11" s="63">
        <v>337473000</v>
      </c>
      <c r="P11" s="3">
        <f t="shared" si="5"/>
        <v>0.46627939310728372</v>
      </c>
      <c r="R11" s="63">
        <v>230156000</v>
      </c>
      <c r="S11" s="3">
        <f t="shared" si="6"/>
        <v>-8.6892699299367604E-2</v>
      </c>
      <c r="U11" s="63">
        <v>252058000</v>
      </c>
    </row>
    <row r="12" spans="1:22">
      <c r="A12" t="s">
        <v>417</v>
      </c>
      <c r="C12" s="7">
        <f t="shared" si="0"/>
        <v>932570688.81104016</v>
      </c>
      <c r="D12" s="141">
        <f t="shared" si="1"/>
        <v>0.33502450648785631</v>
      </c>
      <c r="F12" s="5">
        <v>698542000</v>
      </c>
      <c r="G12" s="3">
        <f t="shared" si="2"/>
        <v>6.2109525264827159E-2</v>
      </c>
      <c r="I12" s="63">
        <v>657693000</v>
      </c>
      <c r="J12" s="3">
        <f t="shared" si="3"/>
        <v>1.7190542535027267</v>
      </c>
      <c r="L12" s="63">
        <v>241883000</v>
      </c>
      <c r="M12" s="3">
        <f t="shared" si="4"/>
        <v>4.6977802884295983E-3</v>
      </c>
      <c r="O12" s="63">
        <v>240752000</v>
      </c>
      <c r="P12" s="3">
        <f t="shared" si="5"/>
        <v>0.41105862218523259</v>
      </c>
      <c r="R12" s="63">
        <v>170618000</v>
      </c>
      <c r="S12" s="3">
        <f t="shared" si="6"/>
        <v>3.5806216610004826E-2</v>
      </c>
      <c r="U12" s="63">
        <v>164720000</v>
      </c>
    </row>
    <row r="13" spans="1:22">
      <c r="A13" t="s">
        <v>112</v>
      </c>
      <c r="C13" s="7">
        <f>SUM(C4:C12)</f>
        <v>19523638522.221748</v>
      </c>
      <c r="D13" s="141">
        <f t="shared" si="1"/>
        <v>0.13147408406544581</v>
      </c>
      <c r="F13" s="5">
        <v>16914380000</v>
      </c>
      <c r="G13" s="3">
        <f t="shared" si="2"/>
        <v>0.29111540353701493</v>
      </c>
      <c r="I13" s="63">
        <f>SUM(I4:I12)</f>
        <v>13100595000</v>
      </c>
      <c r="J13" s="3">
        <f t="shared" si="3"/>
        <v>3.600048903328612E-2</v>
      </c>
      <c r="L13" s="4">
        <f>SUM(L4:L12)</f>
        <v>12645356000</v>
      </c>
      <c r="M13" s="3">
        <f t="shared" si="4"/>
        <v>0.15955335023999195</v>
      </c>
      <c r="O13" s="63">
        <f>SUM(O4:O12)</f>
        <v>10905368000</v>
      </c>
      <c r="P13" s="3">
        <f t="shared" si="5"/>
        <v>0.20852001687105726</v>
      </c>
      <c r="R13" s="63">
        <f>SUM(R4:R12)</f>
        <v>9023738000</v>
      </c>
      <c r="S13" s="3">
        <f t="shared" si="6"/>
        <v>-1.0642046609497746E-2</v>
      </c>
      <c r="U13" s="63">
        <f>SUM(U4:U12)</f>
        <v>9120802000</v>
      </c>
    </row>
    <row r="16" spans="1:22">
      <c r="C16" s="37" t="s">
        <v>1</v>
      </c>
      <c r="D16" s="37" t="s">
        <v>418</v>
      </c>
      <c r="F16" s="37" t="s">
        <v>1</v>
      </c>
      <c r="G16" s="37" t="s">
        <v>419</v>
      </c>
      <c r="I16" s="37" t="s">
        <v>1</v>
      </c>
      <c r="J16" s="37" t="s">
        <v>419</v>
      </c>
      <c r="L16" s="33" t="s">
        <v>1</v>
      </c>
      <c r="M16" s="37" t="s">
        <v>419</v>
      </c>
      <c r="O16" s="33" t="s">
        <v>1</v>
      </c>
      <c r="P16" s="37" t="s">
        <v>419</v>
      </c>
      <c r="R16" s="33" t="s">
        <v>1</v>
      </c>
      <c r="S16" s="37" t="s">
        <v>419</v>
      </c>
      <c r="U16" s="33" t="s">
        <v>1</v>
      </c>
      <c r="V16" s="37" t="s">
        <v>419</v>
      </c>
    </row>
    <row r="17" spans="1:22">
      <c r="A17" s="33" t="s">
        <v>420</v>
      </c>
      <c r="C17" s="37" t="s">
        <v>3</v>
      </c>
      <c r="D17" s="37" t="s">
        <v>408</v>
      </c>
      <c r="E17" s="4"/>
      <c r="F17" s="37">
        <v>24</v>
      </c>
      <c r="G17" s="37">
        <v>24</v>
      </c>
      <c r="H17" s="9"/>
      <c r="I17" s="37">
        <v>23</v>
      </c>
      <c r="J17" s="37">
        <v>23</v>
      </c>
      <c r="K17" s="9"/>
      <c r="L17" s="36">
        <v>22</v>
      </c>
      <c r="M17" s="37">
        <v>22</v>
      </c>
      <c r="N17" s="9"/>
      <c r="O17" s="36">
        <v>21</v>
      </c>
      <c r="P17" s="37">
        <v>21</v>
      </c>
      <c r="R17" s="36">
        <v>20</v>
      </c>
      <c r="S17" s="36">
        <v>20</v>
      </c>
      <c r="U17" s="36">
        <v>19</v>
      </c>
      <c r="V17" s="37">
        <v>19</v>
      </c>
    </row>
    <row r="18" spans="1:22">
      <c r="A18" t="s">
        <v>179</v>
      </c>
      <c r="C18" s="7">
        <f t="shared" ref="C18:C24" si="7">(1+D18)*F18</f>
        <v>1382980000.1961432</v>
      </c>
      <c r="D18" s="141">
        <f t="shared" ref="D18:D25" si="8">(PRODUCT(1+G18,1+J18,1+M18,1+P18,1+S18)^(1/5))-1</f>
        <v>0.12051965220418959</v>
      </c>
      <c r="E18" s="58"/>
      <c r="F18" s="5">
        <f>F29+F30+(F34*0.8)-F21</f>
        <v>1234230919.0880001</v>
      </c>
      <c r="G18" s="3">
        <f>F18/(F4+F8)</f>
        <v>0.12503381502408478</v>
      </c>
      <c r="I18" s="5">
        <f>I29+I30+(I34*0.8)-I21</f>
        <v>898403390.49600005</v>
      </c>
      <c r="J18" s="3">
        <f>I18/(I4+I8)</f>
        <v>0.11292579273645037</v>
      </c>
      <c r="L18" s="5">
        <f>L29+L30+(L34*0.8)-L21</f>
        <v>1044543782.878</v>
      </c>
      <c r="M18" s="140">
        <f>L18/(L4+L8+L5)</f>
        <v>0.12500640657942955</v>
      </c>
      <c r="O18" s="5">
        <f>O29+O30+(O34*0.8)-O21</f>
        <v>866552080.7750001</v>
      </c>
      <c r="P18" s="140">
        <f>O18/(O4+O8+O5)</f>
        <v>0.12024863686275523</v>
      </c>
      <c r="R18" s="5">
        <f>R29+R30+(R34*0.8)-R21</f>
        <v>741202492.48759985</v>
      </c>
      <c r="S18" s="140">
        <f>R18/(R4+R8+R5)</f>
        <v>0.11942805120365409</v>
      </c>
      <c r="U18" s="5">
        <f>U29+U30+(U34*0.8)-U21</f>
        <v>711610374.94120002</v>
      </c>
      <c r="V18" s="140">
        <f>U18/(U4+U8+U5)</f>
        <v>0.11215028406597165</v>
      </c>
    </row>
    <row r="19" spans="1:22">
      <c r="A19" t="s">
        <v>180</v>
      </c>
      <c r="C19" s="7">
        <f t="shared" si="7"/>
        <v>342515131.47418708</v>
      </c>
      <c r="D19" s="141">
        <f t="shared" si="8"/>
        <v>0.21239811607638992</v>
      </c>
      <c r="E19" s="58"/>
      <c r="F19" s="5">
        <f>F31+F32+(F34*0.2)</f>
        <v>282510445.15200001</v>
      </c>
      <c r="G19" s="3">
        <f>F19/(F7+F9)</f>
        <v>0.22464842441953392</v>
      </c>
      <c r="I19" s="5">
        <f>I31+I32+(I34*0.2)</f>
        <v>245697486.14399999</v>
      </c>
      <c r="J19" s="3">
        <f>I19/(I7+I9)</f>
        <v>0.21978858764394421</v>
      </c>
      <c r="L19" s="5">
        <f>L31+L32+(L34*0.2)</f>
        <v>238854721.68200001</v>
      </c>
      <c r="M19" s="3">
        <f>L19/(L7+L9)</f>
        <v>0.2096393779683331</v>
      </c>
      <c r="O19" s="5">
        <f>O31+O32+(O34*0.2)</f>
        <v>204958405.192</v>
      </c>
      <c r="P19" s="3">
        <f>O19/(O7+O9)</f>
        <v>0.20109220643115464</v>
      </c>
      <c r="R19" s="5">
        <f>R31+R32+(R34*0.2)</f>
        <v>165418582.01440001</v>
      </c>
      <c r="S19" s="3">
        <f>R19/(R7+R9)</f>
        <v>0.20697425125953584</v>
      </c>
      <c r="U19" s="5">
        <f>U31+U32+(U34*0.2)</f>
        <v>161273456.57080001</v>
      </c>
      <c r="V19" s="3">
        <f>U19/(U7+U9)</f>
        <v>0.22287036921422848</v>
      </c>
    </row>
    <row r="20" spans="1:22">
      <c r="A20" t="s">
        <v>181</v>
      </c>
      <c r="C20" s="7">
        <f t="shared" si="7"/>
        <v>81114955.728011891</v>
      </c>
      <c r="D20" s="141">
        <f t="shared" si="8"/>
        <v>0.11020495299879918</v>
      </c>
      <c r="E20" s="58"/>
      <c r="F20" s="5">
        <f>F33</f>
        <v>73063046.159999996</v>
      </c>
      <c r="G20" s="3">
        <f>F20/F6</f>
        <v>0.1262978370884601</v>
      </c>
      <c r="I20" s="5">
        <f>I33</f>
        <v>55840337.759999998</v>
      </c>
      <c r="J20" s="3">
        <f>I20/I6</f>
        <v>0.11129781104998804</v>
      </c>
      <c r="L20" s="5">
        <f>L33</f>
        <v>53474937.689999998</v>
      </c>
      <c r="M20" s="3">
        <f>L20/L6</f>
        <v>0.11922345296938645</v>
      </c>
      <c r="O20" s="5">
        <f>O33</f>
        <v>39183224.522</v>
      </c>
      <c r="P20" s="3">
        <f>O20/O6</f>
        <v>9.6785265846109761E-2</v>
      </c>
      <c r="R20" s="5">
        <f>R33</f>
        <v>33034775.993999999</v>
      </c>
      <c r="S20" s="3">
        <f>R20/R6</f>
        <v>9.7725325908110644E-2</v>
      </c>
      <c r="U20" s="5">
        <f>U33</f>
        <v>33841752.826000005</v>
      </c>
      <c r="V20" s="3">
        <f>U20/U6</f>
        <v>9.8202764351689315E-2</v>
      </c>
    </row>
    <row r="21" spans="1:22">
      <c r="A21" t="s">
        <v>182</v>
      </c>
      <c r="C21" s="7">
        <f t="shared" si="7"/>
        <v>123383496.23335545</v>
      </c>
      <c r="D21" s="141">
        <f t="shared" si="8"/>
        <v>7.2899967246569108E-2</v>
      </c>
      <c r="E21" s="58"/>
      <c r="F21" s="5">
        <v>115000000</v>
      </c>
      <c r="G21" s="3">
        <f>F21/F5</f>
        <v>0.18138858482203413</v>
      </c>
      <c r="I21" s="5">
        <v>103000000</v>
      </c>
      <c r="J21" s="3">
        <f>I21/I5</f>
        <v>0.20338166445184691</v>
      </c>
      <c r="L21" s="5"/>
      <c r="M21" s="3">
        <f>L21/L5</f>
        <v>0</v>
      </c>
      <c r="O21" s="5"/>
      <c r="P21" s="3">
        <f>O21/O5</f>
        <v>0</v>
      </c>
      <c r="R21" s="5"/>
      <c r="S21" s="3">
        <f>R21/R5</f>
        <v>0</v>
      </c>
      <c r="U21" s="5"/>
      <c r="V21" s="3">
        <f>U21/U5</f>
        <v>0</v>
      </c>
    </row>
    <row r="22" spans="1:22">
      <c r="A22" t="s">
        <v>183</v>
      </c>
      <c r="C22" s="7">
        <f t="shared" si="7"/>
        <v>455096021.30275083</v>
      </c>
      <c r="D22" s="141">
        <f t="shared" si="8"/>
        <v>0.16790235938700682</v>
      </c>
      <c r="E22" s="58"/>
      <c r="F22" s="5">
        <f>F35</f>
        <v>389669579.51999998</v>
      </c>
      <c r="G22" s="3">
        <f>F22/F10</f>
        <v>0.18164313847163591</v>
      </c>
      <c r="I22" s="5">
        <f>I35</f>
        <v>353655472.48000002</v>
      </c>
      <c r="J22" s="3">
        <f>I22/I10</f>
        <v>0.18083319143017845</v>
      </c>
      <c r="L22" s="5">
        <f>L35</f>
        <v>285199667.68000001</v>
      </c>
      <c r="M22" s="3">
        <f>L22/L10</f>
        <v>0.15880731098038015</v>
      </c>
      <c r="O22" s="5">
        <f>O35</f>
        <v>274282571.65399998</v>
      </c>
      <c r="P22" s="3">
        <f>O22/O10</f>
        <v>0.16165325363551386</v>
      </c>
      <c r="R22" s="5">
        <f>R35</f>
        <v>200655676.40800002</v>
      </c>
      <c r="S22" s="3">
        <f>R22/R10</f>
        <v>0.15683135100778783</v>
      </c>
      <c r="U22" s="5">
        <f>U35</f>
        <v>191380947.016</v>
      </c>
      <c r="V22" s="3">
        <f>U22/U10</f>
        <v>0.14828341145924939</v>
      </c>
    </row>
    <row r="23" spans="1:22" ht="13.9" customHeight="1">
      <c r="A23" t="s">
        <v>184</v>
      </c>
      <c r="C23" s="7">
        <f t="shared" si="7"/>
        <v>88831447.41281496</v>
      </c>
      <c r="D23" s="141">
        <f t="shared" si="8"/>
        <v>0.21581910530097392</v>
      </c>
      <c r="E23" s="58"/>
      <c r="F23" s="5">
        <f>F36</f>
        <v>73063046.159999996</v>
      </c>
      <c r="G23" s="3">
        <f>F23/F12</f>
        <v>0.10459363382588305</v>
      </c>
      <c r="I23" s="5">
        <f>I36</f>
        <v>93067229.600000009</v>
      </c>
      <c r="J23" s="3">
        <f>I23/I12</f>
        <v>0.1415055802631319</v>
      </c>
      <c r="L23" s="5">
        <f>L36</f>
        <v>89124896.150000006</v>
      </c>
      <c r="M23" s="3">
        <f>L23/L12</f>
        <v>0.36846283595788049</v>
      </c>
      <c r="O23" s="5">
        <f>O36</f>
        <v>57267789.685999997</v>
      </c>
      <c r="P23" s="3">
        <f>O23/O12</f>
        <v>0.2378704629078886</v>
      </c>
      <c r="R23" s="5">
        <f>R36</f>
        <v>41599347.548</v>
      </c>
      <c r="S23" s="3">
        <f>R23/R12</f>
        <v>0.24381570261051003</v>
      </c>
      <c r="U23" s="5">
        <f>U36</f>
        <v>31507838.838</v>
      </c>
      <c r="V23" s="3">
        <f>U23/U12</f>
        <v>0.1912811974137931</v>
      </c>
    </row>
    <row r="24" spans="1:22">
      <c r="A24" t="s">
        <v>185</v>
      </c>
      <c r="C24" s="7">
        <f t="shared" si="7"/>
        <v>316345095.00878012</v>
      </c>
      <c r="D24" s="141">
        <f t="shared" si="8"/>
        <v>0.18084229356465387</v>
      </c>
      <c r="E24" s="58"/>
      <c r="F24" s="5">
        <f>F37</f>
        <v>267897835.91999999</v>
      </c>
      <c r="G24" s="3">
        <f>F24/F11</f>
        <v>0.15491244451383468</v>
      </c>
      <c r="I24" s="5">
        <f>I37</f>
        <v>111680675.52</v>
      </c>
      <c r="J24" s="3">
        <f>I24/I11</f>
        <v>0.27543715153144399</v>
      </c>
      <c r="L24" s="5">
        <f>L37</f>
        <v>71299916.920000002</v>
      </c>
      <c r="M24" s="3">
        <f>L24/L11</f>
        <v>0.10741514407656766</v>
      </c>
      <c r="O24" s="5">
        <f>O37</f>
        <v>64803025.170999996</v>
      </c>
      <c r="P24" s="3">
        <f>O24/O11</f>
        <v>0.19202432541566286</v>
      </c>
      <c r="R24" s="5">
        <f>R37</f>
        <v>41599347.548</v>
      </c>
      <c r="S24" s="3">
        <f>R24/R11</f>
        <v>0.18074413679417439</v>
      </c>
      <c r="U24" s="5">
        <f>U37</f>
        <v>39676537.796000004</v>
      </c>
      <c r="V24" s="3">
        <f>U24/U11</f>
        <v>0.15741034918947228</v>
      </c>
    </row>
    <row r="25" spans="1:22">
      <c r="A25" t="s">
        <v>124</v>
      </c>
      <c r="C25" s="7">
        <f>SUM(C18:C24)</f>
        <v>2790266147.3560433</v>
      </c>
      <c r="D25" s="141">
        <f t="shared" si="8"/>
        <v>0.14015791268821287</v>
      </c>
      <c r="E25" s="3"/>
      <c r="F25" s="63">
        <f>SUM(F18:F24)</f>
        <v>2435434872</v>
      </c>
      <c r="G25" s="3">
        <f>F25/F13</f>
        <v>0.14398605636151016</v>
      </c>
      <c r="I25" s="63">
        <f>SUM(I18:I24)</f>
        <v>1861344592</v>
      </c>
      <c r="J25" s="3">
        <f>I25/I13</f>
        <v>0.14208092014141344</v>
      </c>
      <c r="L25" s="63">
        <f>SUM(L18:L24)</f>
        <v>1782497923.0000002</v>
      </c>
      <c r="M25" s="3">
        <f>L25/L13</f>
        <v>0.14096067544480362</v>
      </c>
      <c r="O25" s="63">
        <f>SUM(O18:O24)</f>
        <v>1507047097.0000002</v>
      </c>
      <c r="P25" s="3">
        <f>O25/O13</f>
        <v>0.13819314460548238</v>
      </c>
      <c r="R25" s="63">
        <f>SUM(R18:R24)</f>
        <v>1223510222</v>
      </c>
      <c r="S25" s="3">
        <f>R25/R13</f>
        <v>0.13558795944651761</v>
      </c>
      <c r="U25" s="63">
        <f>SUM(U18:U24)</f>
        <v>1169290907.9880002</v>
      </c>
      <c r="V25" s="3">
        <f>U25/U13</f>
        <v>0.12820044859958588</v>
      </c>
    </row>
    <row r="26" spans="1:22">
      <c r="C26" s="7"/>
      <c r="D26" s="141"/>
      <c r="E26" s="3"/>
      <c r="F26" s="63"/>
      <c r="G26" s="3"/>
      <c r="I26" s="63"/>
      <c r="J26" s="3"/>
      <c r="L26" s="63"/>
      <c r="M26" s="3"/>
      <c r="O26" s="63"/>
      <c r="P26" s="3"/>
      <c r="R26" s="63"/>
      <c r="S26" s="3"/>
      <c r="U26" s="63"/>
      <c r="V26" s="3"/>
    </row>
    <row r="27" spans="1:22">
      <c r="C27" s="324" t="s">
        <v>421</v>
      </c>
      <c r="D27" s="324"/>
      <c r="E27" s="324"/>
      <c r="F27" s="324"/>
      <c r="G27" s="324"/>
      <c r="H27" s="324"/>
      <c r="I27" s="324"/>
      <c r="J27" s="324"/>
    </row>
    <row r="28" spans="1:22" ht="10.15" customHeight="1"/>
    <row r="29" spans="1:22">
      <c r="A29" t="s">
        <v>422</v>
      </c>
      <c r="E29" s="132">
        <v>0.44</v>
      </c>
      <c r="F29" s="131">
        <f>F$38*E29</f>
        <v>1071591343.6799999</v>
      </c>
      <c r="H29" s="58">
        <v>0.39</v>
      </c>
      <c r="I29" s="131">
        <f t="shared" ref="I29:I37" si="9">I$38*H29</f>
        <v>725924390.88</v>
      </c>
      <c r="K29" s="134">
        <v>0.43</v>
      </c>
      <c r="L29" s="131">
        <f t="shared" ref="L29:L37" si="10">L$38*K29</f>
        <v>766474106.88999999</v>
      </c>
      <c r="N29" s="58">
        <v>0.43</v>
      </c>
      <c r="O29" s="131">
        <f t="shared" ref="O29:O37" si="11">O$38*N29</f>
        <v>648030251.71000004</v>
      </c>
      <c r="Q29" s="58">
        <v>0.44600000000000001</v>
      </c>
      <c r="R29" s="131">
        <f t="shared" ref="R29:R37" si="12">R$38*Q29</f>
        <v>545685559.01199996</v>
      </c>
      <c r="S29" s="131"/>
      <c r="T29" s="58">
        <v>0.44600000000000001</v>
      </c>
      <c r="U29" s="131">
        <f t="shared" ref="U29:U37" si="13">U$38*T29</f>
        <v>520462819.324</v>
      </c>
    </row>
    <row r="30" spans="1:22">
      <c r="A30" t="s">
        <v>423</v>
      </c>
      <c r="E30" s="132">
        <v>0.05</v>
      </c>
      <c r="F30" s="131">
        <f t="shared" ref="F30:F37" si="14">F$38*E30</f>
        <v>121771743.60000001</v>
      </c>
      <c r="H30" s="58">
        <v>0.06</v>
      </c>
      <c r="I30" s="131">
        <f t="shared" si="9"/>
        <v>111680675.52</v>
      </c>
      <c r="K30" s="134">
        <v>0.06</v>
      </c>
      <c r="L30" s="131">
        <f t="shared" si="10"/>
        <v>106949875.38</v>
      </c>
      <c r="N30" s="58">
        <v>6.0999999999999999E-2</v>
      </c>
      <c r="O30" s="131">
        <f t="shared" si="11"/>
        <v>91929872.916999996</v>
      </c>
      <c r="Q30" s="58">
        <v>5.8999999999999997E-2</v>
      </c>
      <c r="R30" s="131">
        <f t="shared" si="12"/>
        <v>72187103.09799999</v>
      </c>
      <c r="S30" s="131"/>
      <c r="T30" s="58">
        <v>5.8999999999999997E-2</v>
      </c>
      <c r="U30" s="131">
        <f t="shared" si="13"/>
        <v>68850462.645999998</v>
      </c>
    </row>
    <row r="31" spans="1:22" s="8" customFormat="1">
      <c r="A31" t="s">
        <v>424</v>
      </c>
      <c r="E31" s="132">
        <v>0.05</v>
      </c>
      <c r="F31" s="131">
        <f t="shared" si="14"/>
        <v>121771743.60000001</v>
      </c>
      <c r="H31" s="134">
        <v>0.06</v>
      </c>
      <c r="I31" s="131">
        <f t="shared" si="9"/>
        <v>111680675.52</v>
      </c>
      <c r="K31" s="134">
        <v>0.06</v>
      </c>
      <c r="L31" s="131">
        <f t="shared" si="10"/>
        <v>106949875.38</v>
      </c>
      <c r="N31" s="58">
        <v>6.8000000000000005E-2</v>
      </c>
      <c r="O31" s="131">
        <f t="shared" si="11"/>
        <v>102479202.596</v>
      </c>
      <c r="Q31" s="58">
        <v>6.0999999999999999E-2</v>
      </c>
      <c r="R31" s="131">
        <f t="shared" si="12"/>
        <v>74634123.541999996</v>
      </c>
      <c r="S31" s="131"/>
      <c r="T31" s="58">
        <v>5.0999999999999997E-2</v>
      </c>
      <c r="U31" s="131">
        <f t="shared" si="13"/>
        <v>59514806.693999998</v>
      </c>
    </row>
    <row r="32" spans="1:22">
      <c r="A32" t="s">
        <v>425</v>
      </c>
      <c r="E32" s="132">
        <v>0.05</v>
      </c>
      <c r="F32" s="131">
        <f t="shared" si="14"/>
        <v>121771743.60000001</v>
      </c>
      <c r="H32" s="134">
        <v>0.05</v>
      </c>
      <c r="I32" s="131">
        <f t="shared" si="9"/>
        <v>93067229.600000009</v>
      </c>
      <c r="K32" s="134">
        <v>0.05</v>
      </c>
      <c r="L32" s="131">
        <f t="shared" si="10"/>
        <v>89124896.150000006</v>
      </c>
      <c r="N32" s="58">
        <v>4.7E-2</v>
      </c>
      <c r="O32" s="131">
        <f t="shared" si="11"/>
        <v>70831213.559</v>
      </c>
      <c r="Q32" s="58">
        <v>4.9000000000000002E-2</v>
      </c>
      <c r="R32" s="131">
        <f t="shared" si="12"/>
        <v>59952000.877999999</v>
      </c>
      <c r="S32" s="131"/>
      <c r="T32" s="58">
        <v>6.0999999999999999E-2</v>
      </c>
      <c r="U32" s="131">
        <f t="shared" si="13"/>
        <v>71184376.634000003</v>
      </c>
    </row>
    <row r="33" spans="1:21">
      <c r="A33" t="s">
        <v>181</v>
      </c>
      <c r="E33" s="132">
        <v>0.03</v>
      </c>
      <c r="F33" s="131">
        <f t="shared" si="14"/>
        <v>73063046.159999996</v>
      </c>
      <c r="H33" s="134">
        <v>0.03</v>
      </c>
      <c r="I33" s="131">
        <f t="shared" si="9"/>
        <v>55840337.759999998</v>
      </c>
      <c r="K33" s="134">
        <v>0.03</v>
      </c>
      <c r="L33" s="131">
        <f t="shared" si="10"/>
        <v>53474937.689999998</v>
      </c>
      <c r="N33" s="58">
        <v>2.5999999999999999E-2</v>
      </c>
      <c r="O33" s="131">
        <f t="shared" si="11"/>
        <v>39183224.522</v>
      </c>
      <c r="Q33" s="58">
        <v>2.7E-2</v>
      </c>
      <c r="R33" s="131">
        <f t="shared" si="12"/>
        <v>33034775.993999999</v>
      </c>
      <c r="S33" s="131"/>
      <c r="T33" s="58">
        <v>2.9000000000000001E-2</v>
      </c>
      <c r="U33" s="131">
        <f t="shared" si="13"/>
        <v>33841752.826000005</v>
      </c>
    </row>
    <row r="34" spans="1:21">
      <c r="A34" t="s">
        <v>426</v>
      </c>
      <c r="E34" s="132">
        <v>0.08</v>
      </c>
      <c r="F34" s="131">
        <f t="shared" si="14"/>
        <v>194834789.75999999</v>
      </c>
      <c r="H34" s="134">
        <v>0.11</v>
      </c>
      <c r="I34" s="131">
        <f t="shared" si="9"/>
        <v>204747905.12</v>
      </c>
      <c r="K34" s="134">
        <v>0.12</v>
      </c>
      <c r="L34" s="131">
        <f t="shared" si="10"/>
        <v>213899750.75999999</v>
      </c>
      <c r="N34" s="58">
        <v>0.105</v>
      </c>
      <c r="O34" s="131">
        <f t="shared" si="11"/>
        <v>158239945.185</v>
      </c>
      <c r="Q34" s="58">
        <v>0.126</v>
      </c>
      <c r="R34" s="131">
        <f t="shared" si="12"/>
        <v>154162287.972</v>
      </c>
      <c r="S34" s="131"/>
      <c r="T34" s="58">
        <v>0.13100000000000001</v>
      </c>
      <c r="U34" s="131">
        <f t="shared" si="13"/>
        <v>152871366.21400002</v>
      </c>
    </row>
    <row r="35" spans="1:21">
      <c r="A35" t="s">
        <v>183</v>
      </c>
      <c r="E35" s="132">
        <v>0.16</v>
      </c>
      <c r="F35" s="131">
        <f t="shared" si="14"/>
        <v>389669579.51999998</v>
      </c>
      <c r="H35" s="134">
        <v>0.19</v>
      </c>
      <c r="I35" s="131">
        <f t="shared" si="9"/>
        <v>353655472.48000002</v>
      </c>
      <c r="K35" s="134">
        <v>0.16</v>
      </c>
      <c r="L35" s="131">
        <f t="shared" si="10"/>
        <v>285199667.68000001</v>
      </c>
      <c r="N35" s="58">
        <v>0.182</v>
      </c>
      <c r="O35" s="131">
        <f t="shared" si="11"/>
        <v>274282571.65399998</v>
      </c>
      <c r="Q35" s="58">
        <v>0.16400000000000001</v>
      </c>
      <c r="R35" s="131">
        <f t="shared" si="12"/>
        <v>200655676.40800002</v>
      </c>
      <c r="S35" s="131"/>
      <c r="T35" s="58">
        <v>0.16400000000000001</v>
      </c>
      <c r="U35" s="131">
        <f t="shared" si="13"/>
        <v>191380947.016</v>
      </c>
    </row>
    <row r="36" spans="1:21">
      <c r="A36" t="s">
        <v>184</v>
      </c>
      <c r="E36" s="132">
        <v>0.03</v>
      </c>
      <c r="F36" s="131">
        <f t="shared" si="14"/>
        <v>73063046.159999996</v>
      </c>
      <c r="H36" s="134">
        <v>0.05</v>
      </c>
      <c r="I36" s="131">
        <f t="shared" si="9"/>
        <v>93067229.600000009</v>
      </c>
      <c r="K36" s="134">
        <v>0.05</v>
      </c>
      <c r="L36" s="131">
        <f t="shared" si="10"/>
        <v>89124896.150000006</v>
      </c>
      <c r="N36" s="58">
        <v>3.7999999999999999E-2</v>
      </c>
      <c r="O36" s="131">
        <f t="shared" si="11"/>
        <v>57267789.685999997</v>
      </c>
      <c r="Q36" s="58">
        <v>3.4000000000000002E-2</v>
      </c>
      <c r="R36" s="131">
        <f t="shared" si="12"/>
        <v>41599347.548</v>
      </c>
      <c r="S36" s="131"/>
      <c r="T36" s="58">
        <v>2.7E-2</v>
      </c>
      <c r="U36" s="131">
        <f t="shared" si="13"/>
        <v>31507838.838</v>
      </c>
    </row>
    <row r="37" spans="1:21" s="8" customFormat="1">
      <c r="A37" t="s">
        <v>185</v>
      </c>
      <c r="E37" s="132">
        <v>0.11</v>
      </c>
      <c r="F37" s="131">
        <f t="shared" si="14"/>
        <v>267897835.91999999</v>
      </c>
      <c r="H37" s="134">
        <v>0.06</v>
      </c>
      <c r="I37" s="131">
        <f t="shared" si="9"/>
        <v>111680675.52</v>
      </c>
      <c r="K37" s="137">
        <v>0.04</v>
      </c>
      <c r="L37" s="131">
        <f t="shared" si="10"/>
        <v>71299916.920000002</v>
      </c>
      <c r="N37" s="139">
        <v>4.2999999999999997E-2</v>
      </c>
      <c r="O37" s="131">
        <f t="shared" si="11"/>
        <v>64803025.170999996</v>
      </c>
      <c r="Q37" s="58">
        <v>3.4000000000000002E-2</v>
      </c>
      <c r="R37" s="131">
        <f t="shared" si="12"/>
        <v>41599347.548</v>
      </c>
      <c r="S37" s="131"/>
      <c r="T37" s="58">
        <v>3.4000000000000002E-2</v>
      </c>
      <c r="U37" s="131">
        <f t="shared" si="13"/>
        <v>39676537.796000004</v>
      </c>
    </row>
    <row r="38" spans="1:21" s="8" customFormat="1">
      <c r="A38" s="8" t="s">
        <v>124</v>
      </c>
      <c r="E38" s="135">
        <v>1</v>
      </c>
      <c r="F38" s="46">
        <v>2435434872</v>
      </c>
      <c r="H38" s="133">
        <v>1</v>
      </c>
      <c r="I38" s="138">
        <v>1861344592</v>
      </c>
      <c r="K38" s="133"/>
      <c r="L38" s="46">
        <v>1782497923</v>
      </c>
      <c r="O38" s="136">
        <v>1507047097</v>
      </c>
      <c r="R38" s="136">
        <f>SOFP!N8</f>
        <v>1223510222</v>
      </c>
      <c r="S38" s="136"/>
      <c r="U38" s="154">
        <f>SOFP!P8</f>
        <v>1166956994</v>
      </c>
    </row>
    <row r="39" spans="1:21" s="8" customFormat="1">
      <c r="F39" s="131"/>
      <c r="I39"/>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A04B-C810-45EF-9049-C5FEDAD04A45}">
  <dimension ref="A1:V107"/>
  <sheetViews>
    <sheetView showGridLines="0" zoomScale="85" zoomScaleNormal="85" workbookViewId="0">
      <pane xSplit="1" ySplit="3" topLeftCell="B83" activePane="bottomRight" state="frozen"/>
      <selection pane="bottomRight" activeCell="C95" sqref="C95"/>
      <selection pane="bottomLeft" activeCell="C8" sqref="C8"/>
      <selection pane="topRight" activeCell="C8" sqref="C8"/>
    </sheetView>
  </sheetViews>
  <sheetFormatPr defaultRowHeight="14.45"/>
  <cols>
    <col min="1" max="1" width="86.140625" bestFit="1" customWidth="1"/>
    <col min="3" max="3" width="18.140625" customWidth="1"/>
    <col min="4" max="4" width="20" bestFit="1" customWidth="1"/>
    <col min="6" max="6" width="20.140625" customWidth="1"/>
    <col min="7" max="7" width="23.85546875" bestFit="1" customWidth="1"/>
    <col min="9" max="9" width="21.28515625" customWidth="1"/>
    <col min="10" max="10" width="23.85546875" bestFit="1" customWidth="1"/>
    <col min="12" max="12" width="20.28515625" customWidth="1"/>
    <col min="13" max="13" width="23.85546875" bestFit="1" customWidth="1"/>
    <col min="15" max="15" width="30.42578125" bestFit="1" customWidth="1"/>
    <col min="16" max="16" width="23.85546875" bestFit="1" customWidth="1"/>
    <col min="18" max="18" width="16.42578125" customWidth="1"/>
    <col min="19" max="19" width="19.28515625" customWidth="1"/>
    <col min="21" max="21" width="15.28515625" customWidth="1"/>
    <col min="22" max="22" width="16.28515625" customWidth="1"/>
  </cols>
  <sheetData>
    <row r="1" spans="1:22">
      <c r="A1" s="33" t="s">
        <v>403</v>
      </c>
      <c r="C1" s="324" t="s">
        <v>404</v>
      </c>
      <c r="D1" s="324"/>
      <c r="E1" s="324"/>
      <c r="F1" s="324"/>
      <c r="G1" s="324"/>
      <c r="H1" s="324"/>
      <c r="I1" s="324"/>
      <c r="J1" s="324"/>
    </row>
    <row r="2" spans="1:22">
      <c r="C2" s="37" t="s">
        <v>1</v>
      </c>
      <c r="D2" s="37" t="s">
        <v>405</v>
      </c>
      <c r="F2" s="37" t="s">
        <v>1</v>
      </c>
      <c r="G2" s="37" t="s">
        <v>406</v>
      </c>
      <c r="I2" s="37" t="s">
        <v>1</v>
      </c>
      <c r="J2" s="37" t="s">
        <v>406</v>
      </c>
      <c r="L2" s="33" t="s">
        <v>1</v>
      </c>
      <c r="M2" s="37" t="s">
        <v>406</v>
      </c>
      <c r="O2" s="33" t="s">
        <v>1</v>
      </c>
      <c r="P2" s="37" t="s">
        <v>406</v>
      </c>
      <c r="R2" s="33" t="s">
        <v>1</v>
      </c>
      <c r="S2" s="37" t="s">
        <v>406</v>
      </c>
      <c r="U2" s="33" t="s">
        <v>1</v>
      </c>
      <c r="V2" s="37"/>
    </row>
    <row r="3" spans="1:22">
      <c r="A3" s="33" t="s">
        <v>407</v>
      </c>
      <c r="C3" s="37" t="s">
        <v>3</v>
      </c>
      <c r="D3" s="37" t="s">
        <v>408</v>
      </c>
      <c r="E3" s="4"/>
      <c r="F3" s="37">
        <v>24</v>
      </c>
      <c r="G3" s="37"/>
      <c r="H3" s="9"/>
      <c r="I3" s="37">
        <v>23</v>
      </c>
      <c r="J3" s="37"/>
      <c r="K3" s="9"/>
      <c r="L3" s="36">
        <v>22</v>
      </c>
      <c r="M3" s="37"/>
      <c r="N3" s="9"/>
      <c r="O3" s="36">
        <v>21</v>
      </c>
      <c r="P3" s="37"/>
      <c r="R3" s="36">
        <v>20</v>
      </c>
      <c r="S3" s="37"/>
      <c r="U3" s="36">
        <v>19</v>
      </c>
      <c r="V3" s="37"/>
    </row>
    <row r="4" spans="1:22">
      <c r="A4" t="s">
        <v>427</v>
      </c>
      <c r="C4" s="5">
        <f>(1+D4)*F4</f>
        <v>11987730390.775984</v>
      </c>
      <c r="D4" s="3">
        <f>(PRODUCT(1+G4,1+J4,1+M4,1+P4,1+S4)^(1/5))-1</f>
        <v>0.14321289250200109</v>
      </c>
      <c r="F4" s="5">
        <v>10486000000</v>
      </c>
      <c r="G4" s="3">
        <f>F4/I4-1</f>
        <v>-2.8527957398249981E-3</v>
      </c>
      <c r="I4" s="5">
        <v>10516000000</v>
      </c>
      <c r="J4" s="3">
        <f>I4/L4-1</f>
        <v>0.18064443695969468</v>
      </c>
      <c r="L4" s="5">
        <v>8907000000</v>
      </c>
      <c r="M4" s="3">
        <f>L4/O4-1</f>
        <v>0.13769319197854135</v>
      </c>
      <c r="O4" s="5">
        <v>7829000000</v>
      </c>
      <c r="P4" s="3">
        <f>O4/R4-1</f>
        <v>0.21098221191028621</v>
      </c>
      <c r="R4" s="5">
        <v>6465000000</v>
      </c>
      <c r="S4" s="3">
        <f>R4/U4-1</f>
        <v>0.2039106145251397</v>
      </c>
      <c r="U4" s="5">
        <v>5370000000</v>
      </c>
    </row>
    <row r="5" spans="1:22">
      <c r="A5" t="s">
        <v>428</v>
      </c>
      <c r="C5" s="5">
        <f t="shared" ref="C5:C10" si="0">(1+D5)*F5</f>
        <v>15080664684.961344</v>
      </c>
      <c r="D5" s="3">
        <f t="shared" ref="D5:D10" si="1">(PRODUCT(1+G5,1+J5,1+M5,1+P5,1+S5)^(1/5))-1</f>
        <v>0.17780886324284162</v>
      </c>
      <c r="F5" s="5">
        <v>12804000000</v>
      </c>
      <c r="G5" s="3">
        <f t="shared" ref="G5:G10" si="2">F5/I5-1</f>
        <v>0.2354303357776919</v>
      </c>
      <c r="I5" s="5">
        <v>10364000000</v>
      </c>
      <c r="J5" s="3">
        <f t="shared" ref="J5:J10" si="3">I5/L5-1</f>
        <v>0.26267056530214417</v>
      </c>
      <c r="L5" s="5">
        <v>8208000000</v>
      </c>
      <c r="M5" s="3">
        <f t="shared" ref="M5:M10" si="4">L5/O5-1</f>
        <v>9.7472924187725685E-2</v>
      </c>
      <c r="O5" s="5">
        <v>7479000000</v>
      </c>
      <c r="P5" s="3">
        <f t="shared" ref="P5:P10" si="5">O5/R5-1</f>
        <v>0.12145748987854255</v>
      </c>
      <c r="R5" s="5">
        <v>6669000000</v>
      </c>
      <c r="S5" s="3">
        <f t="shared" ref="S5:S10" si="6">R5/U5-1</f>
        <v>0.18056293149229963</v>
      </c>
      <c r="U5" s="5">
        <v>5649000000</v>
      </c>
    </row>
    <row r="6" spans="1:22">
      <c r="A6" t="s">
        <v>429</v>
      </c>
      <c r="C6" s="5">
        <f t="shared" si="0"/>
        <v>4655848791.8404608</v>
      </c>
      <c r="D6" s="3">
        <f t="shared" si="1"/>
        <v>7.0310067089761175E-2</v>
      </c>
      <c r="F6" s="5">
        <v>4350000000</v>
      </c>
      <c r="G6" s="3">
        <f t="shared" si="2"/>
        <v>-9.2615769712140139E-2</v>
      </c>
      <c r="I6" s="5">
        <v>4794000000</v>
      </c>
      <c r="J6" s="3">
        <f t="shared" si="3"/>
        <v>0.16784409257003663</v>
      </c>
      <c r="L6" s="5">
        <v>4105000000</v>
      </c>
      <c r="M6" s="3">
        <f t="shared" si="4"/>
        <v>4.3732519705059758E-2</v>
      </c>
      <c r="O6" s="5">
        <v>3933000000</v>
      </c>
      <c r="P6" s="3">
        <f t="shared" si="5"/>
        <v>0.17684021543985629</v>
      </c>
      <c r="R6" s="5">
        <v>3342000000</v>
      </c>
      <c r="S6" s="3">
        <f t="shared" si="6"/>
        <v>7.9108814982240983E-2</v>
      </c>
      <c r="U6" s="5">
        <v>3097000000</v>
      </c>
    </row>
    <row r="7" spans="1:22" ht="13.9" customHeight="1">
      <c r="A7" t="s">
        <v>417</v>
      </c>
      <c r="C7" s="5">
        <f t="shared" si="0"/>
        <v>2063758148.7581675</v>
      </c>
      <c r="D7" s="3">
        <f t="shared" si="1"/>
        <v>0.57538789981539495</v>
      </c>
      <c r="F7" s="5">
        <v>1310000000</v>
      </c>
      <c r="G7" s="3">
        <f t="shared" si="2"/>
        <v>2.291457286432161</v>
      </c>
      <c r="I7" s="5">
        <v>398000000</v>
      </c>
      <c r="J7" s="3">
        <f t="shared" si="3"/>
        <v>-6.7915690866510503E-2</v>
      </c>
      <c r="L7" s="5">
        <v>427000000</v>
      </c>
      <c r="M7" s="3">
        <f t="shared" si="4"/>
        <v>0.94090909090909092</v>
      </c>
      <c r="O7" s="5">
        <v>220000000</v>
      </c>
      <c r="P7" s="3">
        <f t="shared" si="5"/>
        <v>0.25</v>
      </c>
      <c r="R7" s="5">
        <v>176000000</v>
      </c>
      <c r="S7" s="3">
        <f t="shared" si="6"/>
        <v>0.30370370370370381</v>
      </c>
      <c r="U7" s="5">
        <v>135000000</v>
      </c>
    </row>
    <row r="8" spans="1:22" s="8" customFormat="1">
      <c r="A8" s="8" t="s">
        <v>430</v>
      </c>
      <c r="C8" s="46">
        <f t="shared" si="0"/>
        <v>33358707371.549248</v>
      </c>
      <c r="D8" s="135">
        <f t="shared" si="1"/>
        <v>0.15228695583935226</v>
      </c>
      <c r="F8" s="46">
        <f>(SUM(F4:F7))</f>
        <v>28950000000</v>
      </c>
      <c r="G8" s="135">
        <f t="shared" si="2"/>
        <v>0.11038662166308688</v>
      </c>
      <c r="I8" s="46">
        <f>(SUM(I4:I7))</f>
        <v>26072000000</v>
      </c>
      <c r="J8" s="135">
        <f t="shared" si="3"/>
        <v>0.20441631634868562</v>
      </c>
      <c r="L8" s="46">
        <f>(SUM(L4:L7))</f>
        <v>21647000000</v>
      </c>
      <c r="M8" s="135">
        <f t="shared" si="4"/>
        <v>0.11232721853964334</v>
      </c>
      <c r="O8" s="46">
        <f>(SUM(O4:O7))</f>
        <v>19461000000</v>
      </c>
      <c r="P8" s="135">
        <f t="shared" si="5"/>
        <v>0.16868844583233256</v>
      </c>
      <c r="R8" s="46">
        <f>(SUM(R4:R7))</f>
        <v>16652000000</v>
      </c>
      <c r="S8" s="135">
        <f t="shared" si="6"/>
        <v>0.16847940495403835</v>
      </c>
      <c r="U8" s="46">
        <f>(SUM(U4:U7))</f>
        <v>14251000000</v>
      </c>
    </row>
    <row r="9" spans="1:22" ht="15" customHeight="1">
      <c r="A9" t="s">
        <v>431</v>
      </c>
      <c r="C9" s="5">
        <f t="shared" si="0"/>
        <v>1405981738.1545978</v>
      </c>
      <c r="D9" s="3">
        <f t="shared" si="1"/>
        <v>5.2381540534878646E-2</v>
      </c>
      <c r="F9" s="5">
        <v>1336000000</v>
      </c>
      <c r="G9" s="3">
        <f t="shared" si="2"/>
        <v>-0.25818989450305385</v>
      </c>
      <c r="I9" s="5">
        <v>1801000000</v>
      </c>
      <c r="J9" s="3">
        <f t="shared" si="3"/>
        <v>1.1313609467455623</v>
      </c>
      <c r="L9" s="5">
        <v>845000000</v>
      </c>
      <c r="M9" s="3">
        <f t="shared" si="4"/>
        <v>-0.44002650762094098</v>
      </c>
      <c r="O9" s="5">
        <v>1509000000</v>
      </c>
      <c r="P9" s="3">
        <f t="shared" si="5"/>
        <v>0.23587223587223582</v>
      </c>
      <c r="R9" s="5">
        <v>1221000000</v>
      </c>
      <c r="S9" s="3">
        <f t="shared" si="6"/>
        <v>0.17971014492753623</v>
      </c>
      <c r="U9" s="5">
        <v>1035000000</v>
      </c>
    </row>
    <row r="10" spans="1:22" s="8" customFormat="1" ht="13.15" customHeight="1">
      <c r="A10" s="8" t="s">
        <v>432</v>
      </c>
      <c r="C10" s="46">
        <f t="shared" si="0"/>
        <v>34725518415.145004</v>
      </c>
      <c r="D10" s="135">
        <f t="shared" si="1"/>
        <v>0.14654863192607404</v>
      </c>
      <c r="F10" s="46">
        <v>30287000000</v>
      </c>
      <c r="G10" s="135">
        <f t="shared" si="2"/>
        <v>8.6646096440872622E-2</v>
      </c>
      <c r="I10" s="46">
        <v>27872000000</v>
      </c>
      <c r="J10" s="135">
        <f t="shared" si="3"/>
        <v>0.23919615863418109</v>
      </c>
      <c r="L10" s="46">
        <v>22492000000</v>
      </c>
      <c r="M10" s="135">
        <f t="shared" si="4"/>
        <v>7.2528730151161236E-2</v>
      </c>
      <c r="O10" s="46">
        <v>20971000000</v>
      </c>
      <c r="P10" s="135">
        <f t="shared" si="5"/>
        <v>0.17333407933754819</v>
      </c>
      <c r="R10" s="46">
        <v>17873000000</v>
      </c>
      <c r="S10" s="135">
        <f t="shared" si="6"/>
        <v>0.16923982729294784</v>
      </c>
      <c r="U10" s="46">
        <v>15286000000</v>
      </c>
    </row>
    <row r="11" spans="1:22" s="8" customFormat="1" ht="13.9" customHeight="1">
      <c r="C11" s="46"/>
      <c r="F11" s="46"/>
      <c r="I11" s="46"/>
      <c r="L11" s="46"/>
      <c r="O11" s="46"/>
      <c r="R11" s="46"/>
      <c r="U11" s="46"/>
    </row>
    <row r="12" spans="1:22" ht="13.9" customHeight="1">
      <c r="A12" t="s">
        <v>427</v>
      </c>
      <c r="C12" s="5">
        <f>(1+D12)*F12</f>
        <v>916502927.47030818</v>
      </c>
      <c r="D12" s="3">
        <f>(PRODUCT(1+G12,1+J12,1+M12,1+P12,1+S12)^(1/5))-1</f>
        <v>0.23684605596532826</v>
      </c>
      <c r="F12" s="5">
        <f>(F20-F4)</f>
        <v>741000000</v>
      </c>
      <c r="G12" s="3">
        <f t="shared" ref="G12:G18" si="7">F12/I12-1</f>
        <v>0.27758620689655178</v>
      </c>
      <c r="I12" s="5">
        <f>(I70-I4)</f>
        <v>580000000</v>
      </c>
      <c r="J12" s="3">
        <f t="shared" ref="J12:J18" si="8">I12/L12-1</f>
        <v>0.35198135198135194</v>
      </c>
      <c r="L12" s="5">
        <f>(L70-L4)</f>
        <v>429000000</v>
      </c>
      <c r="M12" s="3">
        <f t="shared" ref="M12:M18" si="9">L12/O12-1</f>
        <v>0.30792682926829262</v>
      </c>
      <c r="O12" s="5">
        <f>(O70-O4)</f>
        <v>328000000</v>
      </c>
      <c r="P12" s="3">
        <f t="shared" ref="P12:P18" si="10">O12/R12-1</f>
        <v>0.30677290836653381</v>
      </c>
      <c r="R12" s="5">
        <f>(R70-R4)</f>
        <v>251000000</v>
      </c>
      <c r="S12" s="3">
        <f t="shared" ref="S12:S18" si="11">R12/U12-1</f>
        <v>-1.953125E-2</v>
      </c>
      <c r="U12" s="5">
        <f>(U70-U4)</f>
        <v>256000000</v>
      </c>
    </row>
    <row r="13" spans="1:22" s="8" customFormat="1" ht="13.9" customHeight="1">
      <c r="A13" t="s">
        <v>428</v>
      </c>
      <c r="C13" s="5">
        <f t="shared" ref="C13:C18" si="12">(1+D13)*F13</f>
        <v>204941313.48190746</v>
      </c>
      <c r="D13" s="132">
        <f t="shared" ref="D13:D18" si="13">(PRODUCT(1+G13,1+J13,1+M13,1+P13,1+S13)^(1/5))-1</f>
        <v>0.22719349390363752</v>
      </c>
      <c r="F13" s="5">
        <f>(F21-F5)</f>
        <v>167000000</v>
      </c>
      <c r="G13" s="132">
        <f t="shared" si="7"/>
        <v>0.59047619047619038</v>
      </c>
      <c r="I13" s="5">
        <f>(I69-I5)</f>
        <v>105000000</v>
      </c>
      <c r="J13" s="132">
        <f t="shared" si="8"/>
        <v>0.16666666666666674</v>
      </c>
      <c r="L13" s="5">
        <f>(L69-L5)</f>
        <v>90000000</v>
      </c>
      <c r="M13" s="132">
        <f t="shared" si="9"/>
        <v>8.43373493975903E-2</v>
      </c>
      <c r="O13" s="5">
        <f>(O69-O5)</f>
        <v>83000000</v>
      </c>
      <c r="P13" s="132">
        <f t="shared" si="10"/>
        <v>0.27692307692307683</v>
      </c>
      <c r="R13" s="5">
        <f>(R69-R5)</f>
        <v>65000000</v>
      </c>
      <c r="S13" s="132">
        <f t="shared" si="11"/>
        <v>8.3333333333333259E-2</v>
      </c>
      <c r="U13" s="5">
        <f>(U69-U5)</f>
        <v>60000000</v>
      </c>
    </row>
    <row r="14" spans="1:22" s="8" customFormat="1" ht="13.9" customHeight="1">
      <c r="A14" t="s">
        <v>429</v>
      </c>
      <c r="C14" s="5">
        <f t="shared" si="12"/>
        <v>583544560.94186783</v>
      </c>
      <c r="D14" s="132">
        <f t="shared" si="13"/>
        <v>0.10940030597313277</v>
      </c>
      <c r="F14" s="5">
        <f>(F22-F6)</f>
        <v>526000000</v>
      </c>
      <c r="G14" s="132">
        <f t="shared" si="7"/>
        <v>1.9379844961240345E-2</v>
      </c>
      <c r="I14" s="5">
        <f>(I68-I6)</f>
        <v>516000000</v>
      </c>
      <c r="J14" s="132">
        <f t="shared" si="8"/>
        <v>0.29648241206030157</v>
      </c>
      <c r="L14" s="5">
        <f>(L68-L6)</f>
        <v>398000000</v>
      </c>
      <c r="M14" s="132">
        <f t="shared" si="9"/>
        <v>0.3537414965986394</v>
      </c>
      <c r="O14" s="5">
        <f>(O68-O6)</f>
        <v>294000000</v>
      </c>
      <c r="P14" s="132">
        <f t="shared" si="10"/>
        <v>1.730103806228378E-2</v>
      </c>
      <c r="R14" s="5">
        <f>(R68-R6)</f>
        <v>289000000</v>
      </c>
      <c r="S14" s="132">
        <f t="shared" si="11"/>
        <v>-7.6677316293929709E-2</v>
      </c>
      <c r="U14" s="5">
        <f>(U68-U6)</f>
        <v>313000000</v>
      </c>
    </row>
    <row r="15" spans="1:22" s="8" customFormat="1" ht="13.9" customHeight="1">
      <c r="A15" t="s">
        <v>417</v>
      </c>
      <c r="C15" s="5">
        <f t="shared" si="12"/>
        <v>21194627.302670278</v>
      </c>
      <c r="D15" s="132">
        <f t="shared" si="13"/>
        <v>0.11550670014054099</v>
      </c>
      <c r="F15" s="5">
        <f>(F23-F7)</f>
        <v>19000000</v>
      </c>
      <c r="G15" s="132">
        <f t="shared" si="7"/>
        <v>0.11764705882352944</v>
      </c>
      <c r="I15" s="5">
        <f>(I73-I7)</f>
        <v>17000000</v>
      </c>
      <c r="J15" s="132">
        <f t="shared" si="8"/>
        <v>-0.15000000000000002</v>
      </c>
      <c r="L15" s="5">
        <f>(L73-L7)</f>
        <v>20000000</v>
      </c>
      <c r="M15" s="132">
        <f t="shared" si="9"/>
        <v>0.53846153846153855</v>
      </c>
      <c r="O15" s="5">
        <f>(O73-O7)</f>
        <v>13000000</v>
      </c>
      <c r="P15" s="132">
        <f t="shared" si="10"/>
        <v>0</v>
      </c>
      <c r="R15" s="5">
        <f>(R73-R7)</f>
        <v>13000000</v>
      </c>
      <c r="S15" s="132">
        <f t="shared" si="11"/>
        <v>0.18181818181818188</v>
      </c>
      <c r="U15" s="5">
        <f>(U73-U7)</f>
        <v>11000000</v>
      </c>
    </row>
    <row r="16" spans="1:22" s="8" customFormat="1" ht="13.9" customHeight="1">
      <c r="A16" s="8" t="s">
        <v>430</v>
      </c>
      <c r="C16" s="46">
        <f t="shared" si="12"/>
        <v>1711917148.5868294</v>
      </c>
      <c r="D16" s="135">
        <f t="shared" si="13"/>
        <v>0.17819487170463133</v>
      </c>
      <c r="F16" s="46">
        <f>(SUM(F12:F15))</f>
        <v>1453000000</v>
      </c>
      <c r="G16" s="135">
        <f t="shared" si="7"/>
        <v>0.19293924466338264</v>
      </c>
      <c r="I16" s="46">
        <f>(SUM(I12:I15))</f>
        <v>1218000000</v>
      </c>
      <c r="J16" s="135">
        <f t="shared" si="8"/>
        <v>0.29989327641408758</v>
      </c>
      <c r="L16" s="46">
        <f>(SUM(L12:L15))</f>
        <v>937000000</v>
      </c>
      <c r="M16" s="135">
        <f t="shared" si="9"/>
        <v>0.30501392757660173</v>
      </c>
      <c r="O16" s="46">
        <f>(SUM(O12:O15))</f>
        <v>718000000</v>
      </c>
      <c r="P16" s="135">
        <f t="shared" si="10"/>
        <v>0.16181229773462791</v>
      </c>
      <c r="R16" s="46">
        <f>(SUM(R12:R15))</f>
        <v>618000000</v>
      </c>
      <c r="S16" s="135">
        <f t="shared" si="11"/>
        <v>-3.4375000000000044E-2</v>
      </c>
      <c r="U16" s="46">
        <f>(SUM(U12:U15))</f>
        <v>640000000</v>
      </c>
    </row>
    <row r="17" spans="1:22" s="8" customFormat="1" ht="13.9" customHeight="1">
      <c r="A17" t="s">
        <v>431</v>
      </c>
      <c r="C17" s="5">
        <f t="shared" si="12"/>
        <v>60653838.518748008</v>
      </c>
      <c r="D17" s="132">
        <f t="shared" si="13"/>
        <v>0.1444120475235473</v>
      </c>
      <c r="F17" s="5">
        <f>(F25-F9)</f>
        <v>53000000</v>
      </c>
      <c r="G17" s="132">
        <f t="shared" si="7"/>
        <v>0.39473684210526305</v>
      </c>
      <c r="I17" s="5">
        <f>(I74-I9)</f>
        <v>38000000</v>
      </c>
      <c r="J17" s="132">
        <f t="shared" si="8"/>
        <v>0.1515151515151516</v>
      </c>
      <c r="L17" s="5">
        <f>(L74-L9)</f>
        <v>33000000</v>
      </c>
      <c r="M17" s="132">
        <f t="shared" si="9"/>
        <v>6.4516129032258007E-2</v>
      </c>
      <c r="O17" s="5">
        <f>(O74-O9)</f>
        <v>31000000</v>
      </c>
      <c r="P17" s="132">
        <f t="shared" si="10"/>
        <v>0.14814814814814814</v>
      </c>
      <c r="R17" s="5">
        <f>(R74-R9)</f>
        <v>27000000</v>
      </c>
      <c r="S17" s="132">
        <f t="shared" si="11"/>
        <v>0</v>
      </c>
      <c r="U17" s="5">
        <f>(U74-U9)</f>
        <v>27000000</v>
      </c>
    </row>
    <row r="18" spans="1:22" s="8" customFormat="1" ht="13.9" customHeight="1">
      <c r="A18" s="8" t="s">
        <v>433</v>
      </c>
      <c r="C18" s="46">
        <f t="shared" si="12"/>
        <v>1771000293.3725731</v>
      </c>
      <c r="D18" s="135">
        <f t="shared" si="13"/>
        <v>0.17674438097845391</v>
      </c>
      <c r="F18" s="46">
        <f>(F77-F10)</f>
        <v>1505000000</v>
      </c>
      <c r="G18" s="135">
        <f t="shared" si="7"/>
        <v>0.1982484076433122</v>
      </c>
      <c r="I18" s="46">
        <f>(I77-I10)</f>
        <v>1256000000</v>
      </c>
      <c r="J18" s="135">
        <f t="shared" si="8"/>
        <v>0.29618163054695557</v>
      </c>
      <c r="L18" s="46">
        <f>(L77-L10)</f>
        <v>969000000</v>
      </c>
      <c r="M18" s="135">
        <f t="shared" si="9"/>
        <v>0.29372496662216285</v>
      </c>
      <c r="O18" s="46">
        <f>(O77-O10)</f>
        <v>749000000</v>
      </c>
      <c r="P18" s="135">
        <f t="shared" si="10"/>
        <v>0.1594427244582044</v>
      </c>
      <c r="R18" s="46">
        <f>(R77-R10)</f>
        <v>646000000</v>
      </c>
      <c r="S18" s="135">
        <f t="shared" si="11"/>
        <v>-3.1484257871064458E-2</v>
      </c>
      <c r="U18" s="46">
        <f>(U77-U10)</f>
        <v>667000000</v>
      </c>
    </row>
    <row r="19" spans="1:22" s="8" customFormat="1" ht="13.9" customHeight="1">
      <c r="C19" s="46"/>
      <c r="F19" s="46"/>
      <c r="I19" s="46"/>
      <c r="L19" s="46"/>
      <c r="O19" s="46"/>
      <c r="R19" s="46"/>
      <c r="U19" s="46"/>
    </row>
    <row r="20" spans="1:22">
      <c r="A20" t="s">
        <v>427</v>
      </c>
      <c r="C20" s="5">
        <f>(1+D20)*F20</f>
        <v>11703803564.80047</v>
      </c>
      <c r="D20" s="3">
        <f>(PRODUCT(1+G20,1+J20,1+M20,1+P20,1+S20)^(1/5))-1</f>
        <v>4.246936535142698E-2</v>
      </c>
      <c r="F20" s="5">
        <v>11227000000</v>
      </c>
      <c r="G20" s="3">
        <f t="shared" ref="G20:G26" si="14">F20/I20-1</f>
        <v>1.1806056236481677E-2</v>
      </c>
      <c r="H20" s="5"/>
      <c r="I20" s="5">
        <v>11096000000</v>
      </c>
      <c r="J20" s="3">
        <f t="shared" ref="J20:J26" si="15">I20/L20-1</f>
        <v>0.18851756640959727</v>
      </c>
      <c r="K20" s="5"/>
      <c r="L20" s="5">
        <v>9336000000</v>
      </c>
      <c r="M20" s="3">
        <f t="shared" ref="M20:M26" si="16">L20/O20-1</f>
        <v>-0.20807532445500043</v>
      </c>
      <c r="N20" s="5"/>
      <c r="O20" s="5">
        <f>(O22+O21)</f>
        <v>11789000000</v>
      </c>
      <c r="P20" s="3">
        <f t="shared" ref="P20:P26" si="17">O20/R20-1</f>
        <v>0.13738543174143758</v>
      </c>
      <c r="Q20" s="5"/>
      <c r="R20" s="5">
        <f>(R22+R21)</f>
        <v>10365000000</v>
      </c>
      <c r="S20" s="3">
        <f t="shared" ref="S20:S26" si="18">R20/U20-1</f>
        <v>0.13663778923127534</v>
      </c>
      <c r="T20" s="5"/>
      <c r="U20" s="5">
        <f>(U22+U21)</f>
        <v>9119000000</v>
      </c>
    </row>
    <row r="21" spans="1:22">
      <c r="A21" t="s">
        <v>428</v>
      </c>
      <c r="C21" s="5">
        <f t="shared" ref="C21:C26" si="19">(1+D21)*F21</f>
        <v>15284672673.564135</v>
      </c>
      <c r="D21" s="3">
        <f t="shared" ref="D21:D26" si="20">(PRODUCT(1+G21,1+J21,1+M21,1+P21,1+S21)^(1/5))-1</f>
        <v>0.17837272943983762</v>
      </c>
      <c r="F21" s="5">
        <v>12971000000</v>
      </c>
      <c r="G21" s="3">
        <f t="shared" si="14"/>
        <v>0.23899130767026455</v>
      </c>
      <c r="H21" s="5"/>
      <c r="I21" s="5">
        <v>10469000000</v>
      </c>
      <c r="J21" s="3">
        <f t="shared" si="15"/>
        <v>0.26162930826705222</v>
      </c>
      <c r="K21" s="5"/>
      <c r="L21" s="5">
        <v>8298000000</v>
      </c>
      <c r="M21" s="3">
        <f t="shared" si="16"/>
        <v>9.7328749008198878E-2</v>
      </c>
      <c r="N21" s="5"/>
      <c r="O21" s="5">
        <v>7562000000</v>
      </c>
      <c r="P21" s="3">
        <f t="shared" si="17"/>
        <v>0.12295812295812292</v>
      </c>
      <c r="Q21" s="5"/>
      <c r="R21" s="5">
        <v>6734000000</v>
      </c>
      <c r="S21" s="3">
        <f t="shared" si="18"/>
        <v>0.17954107549483278</v>
      </c>
      <c r="T21" s="5"/>
      <c r="U21" s="5">
        <v>5709000000</v>
      </c>
    </row>
    <row r="22" spans="1:22">
      <c r="A22" t="s">
        <v>429</v>
      </c>
      <c r="C22" s="5">
        <f t="shared" si="19"/>
        <v>5237518385.9381447</v>
      </c>
      <c r="D22" s="3">
        <f t="shared" si="20"/>
        <v>7.414240892906987E-2</v>
      </c>
      <c r="F22" s="5">
        <v>4876000000</v>
      </c>
      <c r="G22" s="3">
        <f t="shared" si="14"/>
        <v>-8.1732580037664815E-2</v>
      </c>
      <c r="H22" s="5"/>
      <c r="I22" s="5">
        <v>5310000000</v>
      </c>
      <c r="J22" s="3">
        <f t="shared" si="15"/>
        <v>0.17921385742838103</v>
      </c>
      <c r="K22" s="5"/>
      <c r="L22" s="5">
        <v>4503000000</v>
      </c>
      <c r="M22" s="3">
        <f t="shared" si="16"/>
        <v>6.5294535131298792E-2</v>
      </c>
      <c r="N22" s="5"/>
      <c r="O22" s="5">
        <v>4227000000</v>
      </c>
      <c r="P22" s="3">
        <f t="shared" si="17"/>
        <v>0.1641421096116773</v>
      </c>
      <c r="Q22" s="5"/>
      <c r="R22" s="5">
        <v>3631000000</v>
      </c>
      <c r="S22" s="3">
        <f t="shared" si="18"/>
        <v>6.4809384164222772E-2</v>
      </c>
      <c r="T22" s="5"/>
      <c r="U22" s="5">
        <v>3410000000</v>
      </c>
    </row>
    <row r="23" spans="1:22">
      <c r="A23" t="s">
        <v>417</v>
      </c>
      <c r="C23" s="5">
        <f t="shared" si="19"/>
        <v>2067090095.1193407</v>
      </c>
      <c r="D23" s="3">
        <f t="shared" si="20"/>
        <v>0.55537253206872883</v>
      </c>
      <c r="F23" s="5">
        <v>1329000000</v>
      </c>
      <c r="G23" s="3">
        <f t="shared" si="14"/>
        <v>2.2024096385542169</v>
      </c>
      <c r="H23" s="5"/>
      <c r="I23" s="5">
        <v>415000000</v>
      </c>
      <c r="J23" s="3">
        <f t="shared" si="15"/>
        <v>-7.1588366890380284E-2</v>
      </c>
      <c r="K23" s="5"/>
      <c r="L23" s="5">
        <v>447000000</v>
      </c>
      <c r="M23" s="3">
        <f t="shared" si="16"/>
        <v>0.9184549356223175</v>
      </c>
      <c r="N23" s="5"/>
      <c r="O23" s="5">
        <v>233000000</v>
      </c>
      <c r="P23" s="3">
        <f t="shared" si="17"/>
        <v>0.23280423280423279</v>
      </c>
      <c r="Q23" s="5"/>
      <c r="R23" s="5">
        <v>189000000</v>
      </c>
      <c r="S23" s="3">
        <f t="shared" si="18"/>
        <v>0.29452054794520555</v>
      </c>
      <c r="T23" s="5"/>
      <c r="U23" s="5">
        <v>146000000</v>
      </c>
    </row>
    <row r="24" spans="1:22" s="8" customFormat="1">
      <c r="A24" s="8" t="s">
        <v>430</v>
      </c>
      <c r="C24" s="46">
        <f t="shared" si="19"/>
        <v>33621085039.222603</v>
      </c>
      <c r="D24" s="135">
        <f t="shared" si="20"/>
        <v>0.1058476150124199</v>
      </c>
      <c r="F24" s="46">
        <f>(SUM(F20:F23))</f>
        <v>30403000000</v>
      </c>
      <c r="G24" s="135">
        <f t="shared" si="14"/>
        <v>0.11407108831073653</v>
      </c>
      <c r="I24" s="46">
        <f>(SUM(I20:I23))</f>
        <v>27290000000</v>
      </c>
      <c r="J24" s="135">
        <f t="shared" si="15"/>
        <v>0.20837761246900466</v>
      </c>
      <c r="L24" s="46">
        <f>(SUM(L20:L23))</f>
        <v>22584000000</v>
      </c>
      <c r="M24" s="135">
        <f t="shared" si="16"/>
        <v>-5.1530805090084453E-2</v>
      </c>
      <c r="O24" s="46">
        <f>(SUM(O20:O23))</f>
        <v>23811000000</v>
      </c>
      <c r="P24" s="135">
        <f t="shared" si="17"/>
        <v>0.13824752617237923</v>
      </c>
      <c r="R24" s="46">
        <f>(SUM(R20:R23))</f>
        <v>20919000000</v>
      </c>
      <c r="S24" s="135">
        <f t="shared" si="18"/>
        <v>0.13789164490861627</v>
      </c>
      <c r="U24" s="46">
        <f>(SUM(U20:U23))</f>
        <v>18384000000</v>
      </c>
    </row>
    <row r="25" spans="1:22">
      <c r="A25" t="s">
        <v>431</v>
      </c>
      <c r="C25" s="5">
        <f t="shared" si="19"/>
        <v>1465607880.5889831</v>
      </c>
      <c r="D25" s="3">
        <f t="shared" si="20"/>
        <v>5.5153261763126737E-2</v>
      </c>
      <c r="F25" s="5">
        <v>1389000000</v>
      </c>
      <c r="G25" s="3">
        <f t="shared" si="14"/>
        <v>-0.24469820554649269</v>
      </c>
      <c r="H25" s="5"/>
      <c r="I25" s="5">
        <v>1839000000</v>
      </c>
      <c r="J25" s="3">
        <f t="shared" si="15"/>
        <v>1.0945330296127564</v>
      </c>
      <c r="K25" s="5"/>
      <c r="L25" s="5">
        <v>878000000</v>
      </c>
      <c r="M25" s="3">
        <f t="shared" si="16"/>
        <v>-0.42987012987012985</v>
      </c>
      <c r="N25" s="5"/>
      <c r="O25" s="5">
        <v>1540000000</v>
      </c>
      <c r="P25" s="3">
        <f t="shared" si="17"/>
        <v>0.23397435897435903</v>
      </c>
      <c r="Q25" s="5"/>
      <c r="R25" s="5">
        <v>1248000000</v>
      </c>
      <c r="S25" s="3">
        <f t="shared" si="18"/>
        <v>0.17514124293785316</v>
      </c>
      <c r="T25" s="5"/>
      <c r="U25" s="5">
        <v>1062000000</v>
      </c>
    </row>
    <row r="26" spans="1:22" s="8" customFormat="1">
      <c r="A26" s="8" t="s">
        <v>434</v>
      </c>
      <c r="C26" s="46">
        <f t="shared" si="19"/>
        <v>36493283979.89994</v>
      </c>
      <c r="D26" s="135">
        <f t="shared" si="20"/>
        <v>0.14787632045482946</v>
      </c>
      <c r="F26" s="46">
        <v>31792000000</v>
      </c>
      <c r="G26" s="135">
        <f t="shared" si="14"/>
        <v>9.1458390552046076E-2</v>
      </c>
      <c r="H26" s="46"/>
      <c r="I26" s="46">
        <v>29128000000</v>
      </c>
      <c r="J26" s="135">
        <f t="shared" si="15"/>
        <v>0.24154980606112275</v>
      </c>
      <c r="K26" s="46"/>
      <c r="L26" s="46">
        <v>23461000000</v>
      </c>
      <c r="M26" s="135">
        <f t="shared" si="16"/>
        <v>8.0156537753222734E-2</v>
      </c>
      <c r="N26" s="46"/>
      <c r="O26" s="46">
        <v>21720000000</v>
      </c>
      <c r="P26" s="135">
        <f t="shared" si="17"/>
        <v>0.17284950591284631</v>
      </c>
      <c r="Q26" s="46"/>
      <c r="R26" s="46">
        <v>18519000000</v>
      </c>
      <c r="S26" s="135">
        <f t="shared" si="18"/>
        <v>0.1608474895004075</v>
      </c>
      <c r="T26" s="46"/>
      <c r="U26" s="46">
        <v>15953000000</v>
      </c>
    </row>
    <row r="27" spans="1:22" s="8" customFormat="1" ht="13.9" customHeight="1">
      <c r="F27" s="46"/>
      <c r="I27" s="46"/>
      <c r="L27" s="46"/>
      <c r="O27" s="46"/>
      <c r="R27" s="46"/>
      <c r="U27" s="46"/>
    </row>
    <row r="28" spans="1:22">
      <c r="L28" s="5"/>
      <c r="R28" s="5"/>
      <c r="U28" s="5"/>
    </row>
    <row r="29" spans="1:22">
      <c r="C29" s="37" t="s">
        <v>1</v>
      </c>
      <c r="D29" s="37" t="s">
        <v>418</v>
      </c>
      <c r="F29" s="37" t="s">
        <v>1</v>
      </c>
      <c r="G29" s="37" t="s">
        <v>419</v>
      </c>
      <c r="I29" s="37" t="s">
        <v>1</v>
      </c>
      <c r="J29" s="37" t="s">
        <v>419</v>
      </c>
      <c r="L29" s="33" t="s">
        <v>1</v>
      </c>
      <c r="M29" s="37" t="s">
        <v>419</v>
      </c>
      <c r="O29" s="33" t="s">
        <v>1</v>
      </c>
      <c r="P29" s="37" t="s">
        <v>419</v>
      </c>
      <c r="R29" s="33" t="s">
        <v>1</v>
      </c>
      <c r="S29" s="37" t="s">
        <v>419</v>
      </c>
      <c r="U29" s="33" t="s">
        <v>1</v>
      </c>
      <c r="V29" s="37" t="s">
        <v>419</v>
      </c>
    </row>
    <row r="30" spans="1:22">
      <c r="A30" s="33" t="s">
        <v>420</v>
      </c>
      <c r="C30" s="37" t="s">
        <v>3</v>
      </c>
      <c r="D30" s="37" t="s">
        <v>408</v>
      </c>
      <c r="E30" s="4"/>
      <c r="F30" s="37">
        <v>24</v>
      </c>
      <c r="G30" s="37">
        <v>24</v>
      </c>
      <c r="H30" s="9"/>
      <c r="I30" s="37">
        <v>23</v>
      </c>
      <c r="J30" s="37">
        <v>23</v>
      </c>
      <c r="K30" s="9"/>
      <c r="L30" s="36">
        <v>22</v>
      </c>
      <c r="M30" s="37">
        <v>22</v>
      </c>
      <c r="N30" s="9"/>
      <c r="O30" s="36">
        <v>21</v>
      </c>
      <c r="P30" s="37">
        <v>21</v>
      </c>
      <c r="R30" s="36">
        <v>20</v>
      </c>
      <c r="S30" s="36">
        <v>20</v>
      </c>
      <c r="U30" s="36">
        <v>19</v>
      </c>
      <c r="V30" s="37">
        <v>19</v>
      </c>
    </row>
    <row r="31" spans="1:22">
      <c r="A31" t="s">
        <v>427</v>
      </c>
      <c r="C31" s="4">
        <f t="shared" ref="C31:C50" si="21">(1+D31)*F31</f>
        <v>1415178709.7680869</v>
      </c>
      <c r="D31" s="141">
        <f t="shared" ref="D31:D50" si="22">(PRODUCT(1+G31,1+J31,1+M31,1+P31,1+S31)^(1/5))-1</f>
        <v>0.1228986668105565</v>
      </c>
      <c r="E31" s="58"/>
      <c r="F31" s="5">
        <f t="shared" ref="F31:F36" si="23">F45-F38</f>
        <v>1260290667</v>
      </c>
      <c r="G31" s="3">
        <f>F31/(F4+(F$7*(F4/F$8)))</f>
        <v>0.11498482037879731</v>
      </c>
      <c r="I31" s="5">
        <f t="shared" ref="I31:I36" si="24">I45-I38</f>
        <v>1117970561.0828025</v>
      </c>
      <c r="J31" s="3">
        <f>I31/(I4+(I$7*(I4/I$8)))</f>
        <v>0.10471290215421043</v>
      </c>
      <c r="L31" s="5">
        <f t="shared" ref="L31:L36" si="25">L45-L38</f>
        <v>1196659588.8885448</v>
      </c>
      <c r="M31" s="3">
        <f>L31/(L4+(L$7*(L4/L$8)))</f>
        <v>0.13175158597846115</v>
      </c>
      <c r="O31" s="5">
        <f t="shared" ref="O31:O36" si="26">O45-O38</f>
        <v>1018354283.1989319</v>
      </c>
      <c r="P31" s="3">
        <f>O31/(O4+(O$7*(O4/O$8)))</f>
        <v>0.12862061819430579</v>
      </c>
      <c r="R31" s="5">
        <f t="shared" ref="R31:R36" si="27">R45-R38</f>
        <v>880113081.48916411</v>
      </c>
      <c r="S31" s="3">
        <f>R31/(R4+(R$7*(R4/R$8)))</f>
        <v>0.13471124372645932</v>
      </c>
      <c r="U31" s="5">
        <f t="shared" ref="U31:U36" si="28">U45-U38</f>
        <v>769356863.23838079</v>
      </c>
      <c r="V31" s="3">
        <f>U31/(U4+(U$7*(U4/U$8)))</f>
        <v>0.1419249764346488</v>
      </c>
    </row>
    <row r="32" spans="1:22">
      <c r="A32" t="s">
        <v>428</v>
      </c>
      <c r="C32" s="5">
        <f t="shared" si="21"/>
        <v>2162816946.1827269</v>
      </c>
      <c r="D32" s="3">
        <f t="shared" si="22"/>
        <v>0.15380996226462651</v>
      </c>
      <c r="E32" s="58"/>
      <c r="F32" s="5">
        <f t="shared" si="23"/>
        <v>1874500149</v>
      </c>
      <c r="G32" s="3">
        <f>F32/(F5+(F$7*(F5/F$8)))</f>
        <v>0.14006172092606037</v>
      </c>
      <c r="I32" s="5">
        <f t="shared" si="24"/>
        <v>1700740875.0063694</v>
      </c>
      <c r="J32" s="3">
        <f>I32/(I5+(I$7*(I5/I$8)))</f>
        <v>0.16163341594216118</v>
      </c>
      <c r="L32" s="5">
        <f t="shared" si="25"/>
        <v>1285968347.0185759</v>
      </c>
      <c r="M32" s="3">
        <f>L32/(L5+(L$7*(L5/L$8)))</f>
        <v>0.15364187909624252</v>
      </c>
      <c r="O32" s="5">
        <f t="shared" si="26"/>
        <v>1179580843.236315</v>
      </c>
      <c r="P32" s="3">
        <f>O32/(O5+(O$7*(O5/O$8)))</f>
        <v>0.15595602915181411</v>
      </c>
      <c r="R32" s="5">
        <f t="shared" si="27"/>
        <v>1063995682.9195046</v>
      </c>
      <c r="S32" s="3">
        <f>R32/(R5+(R$7*(R5/R$8)))</f>
        <v>0.15787488503081079</v>
      </c>
      <c r="U32" s="5">
        <f t="shared" si="28"/>
        <v>982518175.00899553</v>
      </c>
      <c r="V32" s="3">
        <f>U32/(U5+(U$7*(U5/U$8)))</f>
        <v>0.17229564580625661</v>
      </c>
    </row>
    <row r="33" spans="1:22">
      <c r="A33" t="s">
        <v>429</v>
      </c>
      <c r="C33" s="5">
        <f t="shared" si="21"/>
        <v>655464147.42897356</v>
      </c>
      <c r="D33" s="3">
        <f t="shared" si="22"/>
        <v>0.11838361790414731</v>
      </c>
      <c r="E33" s="58"/>
      <c r="F33" s="5">
        <f t="shared" si="23"/>
        <v>586081678</v>
      </c>
      <c r="G33" s="3">
        <f>F33/(F6+(F$7*(F6/F$8)))</f>
        <v>0.12889869846844587</v>
      </c>
      <c r="I33" s="5">
        <f t="shared" si="24"/>
        <v>598344018.85987258</v>
      </c>
      <c r="J33" s="3">
        <f>I33/(I6+(I$7*(I6/I$8)))</f>
        <v>0.12293437300745846</v>
      </c>
      <c r="L33" s="5">
        <f t="shared" si="25"/>
        <v>452507144.34881318</v>
      </c>
      <c r="M33" s="3">
        <f>L33/(L6+(L$7*(L6/L$8)))</f>
        <v>0.10810081242308713</v>
      </c>
      <c r="O33" s="5">
        <f t="shared" si="26"/>
        <v>521844565.35514021</v>
      </c>
      <c r="P33" s="3">
        <f>O33/(O6+(O$7*(O6/O$8)))</f>
        <v>0.13120041533003637</v>
      </c>
      <c r="R33" s="5">
        <f t="shared" si="27"/>
        <v>341439133.84210527</v>
      </c>
      <c r="S33" s="3">
        <f>R33/(R6+(R$7*(R6/R$8)))</f>
        <v>0.10109757754521041</v>
      </c>
      <c r="U33" s="5">
        <f t="shared" si="28"/>
        <v>292596227.14692652</v>
      </c>
      <c r="V33" s="3">
        <f>U33/(U6+(U$7*(U6/U$8)))</f>
        <v>9.3590722644298727E-2</v>
      </c>
    </row>
    <row r="34" spans="1:22" s="8" customFormat="1">
      <c r="A34" s="8" t="s">
        <v>430</v>
      </c>
      <c r="C34" s="46">
        <f t="shared" si="21"/>
        <v>4211286929.0321841</v>
      </c>
      <c r="D34" s="135">
        <f t="shared" si="22"/>
        <v>0.13411739532632971</v>
      </c>
      <c r="E34" s="133"/>
      <c r="F34" s="46">
        <f t="shared" si="23"/>
        <v>3713272494</v>
      </c>
      <c r="G34" s="135">
        <f>F34/F8</f>
        <v>0.12826502569948187</v>
      </c>
      <c r="I34" s="46">
        <f t="shared" si="24"/>
        <v>3409543512.2738853</v>
      </c>
      <c r="J34" s="135">
        <f>I34/I8</f>
        <v>0.13077414514704991</v>
      </c>
      <c r="L34" s="46">
        <f t="shared" si="25"/>
        <v>2926301230.9267287</v>
      </c>
      <c r="M34" s="135">
        <f>L34/L8</f>
        <v>0.13518276116444444</v>
      </c>
      <c r="O34" s="46">
        <f t="shared" si="26"/>
        <v>2714034698.4659548</v>
      </c>
      <c r="P34" s="135">
        <f>O34/O8</f>
        <v>0.13946018696192153</v>
      </c>
      <c r="R34" s="46">
        <f t="shared" si="27"/>
        <v>2280349910.634675</v>
      </c>
      <c r="S34" s="135">
        <f>R34/R8</f>
        <v>0.13694150316086207</v>
      </c>
      <c r="U34" s="46">
        <f t="shared" si="28"/>
        <v>2040077862.095952</v>
      </c>
      <c r="V34" s="135">
        <f>U34/U8</f>
        <v>0.14315331289705649</v>
      </c>
    </row>
    <row r="35" spans="1:22">
      <c r="A35" t="s">
        <v>431</v>
      </c>
      <c r="C35" s="5">
        <f t="shared" si="21"/>
        <v>62635558.609978847</v>
      </c>
      <c r="D35" s="3">
        <f t="shared" si="22"/>
        <v>0.14511296817542796</v>
      </c>
      <c r="E35" s="58"/>
      <c r="F35" s="5">
        <f t="shared" si="23"/>
        <v>54698148</v>
      </c>
      <c r="G35" s="3">
        <f>F35/F9</f>
        <v>4.0941727544910177E-2</v>
      </c>
      <c r="I35" s="5">
        <f t="shared" si="24"/>
        <v>177808323.72611466</v>
      </c>
      <c r="J35" s="3">
        <f>I35/I9</f>
        <v>9.8727553429269657E-2</v>
      </c>
      <c r="L35" s="5">
        <f t="shared" si="25"/>
        <v>114599328.60681115</v>
      </c>
      <c r="M35" s="3">
        <f>L35/L9</f>
        <v>0.13562050722699545</v>
      </c>
      <c r="O35" s="5">
        <f t="shared" si="26"/>
        <v>336963699.5340454</v>
      </c>
      <c r="P35" s="3">
        <f>O35/O9</f>
        <v>0.22330265045331041</v>
      </c>
      <c r="R35" s="5">
        <f t="shared" si="27"/>
        <v>292121324.56656349</v>
      </c>
      <c r="S35" s="3">
        <f>R35/R9</f>
        <v>0.23924760406761955</v>
      </c>
      <c r="U35" s="5">
        <f t="shared" si="28"/>
        <v>131119306.90404798</v>
      </c>
      <c r="V35" s="3">
        <f>U35/U9</f>
        <v>0.1266853206802396</v>
      </c>
    </row>
    <row r="36" spans="1:22" s="8" customFormat="1" ht="13.9" customHeight="1">
      <c r="A36" s="8" t="s">
        <v>432</v>
      </c>
      <c r="C36" s="46">
        <f t="shared" si="21"/>
        <v>4279055921.1454945</v>
      </c>
      <c r="D36" s="135">
        <f t="shared" si="22"/>
        <v>0.13551885620106008</v>
      </c>
      <c r="E36" s="133"/>
      <c r="F36" s="46">
        <f t="shared" si="23"/>
        <v>3768370642</v>
      </c>
      <c r="G36" s="135">
        <f>F36/F10</f>
        <v>0.12442205045068841</v>
      </c>
      <c r="I36" s="46">
        <f t="shared" si="24"/>
        <v>3587351836</v>
      </c>
      <c r="J36" s="135">
        <f>I36/I10</f>
        <v>0.12870808826061997</v>
      </c>
      <c r="L36" s="46">
        <f t="shared" si="25"/>
        <v>3041342252</v>
      </c>
      <c r="M36" s="135">
        <f>L36/L10</f>
        <v>0.13521884456695715</v>
      </c>
      <c r="O36" s="46">
        <f t="shared" si="26"/>
        <v>3050998398</v>
      </c>
      <c r="P36" s="135">
        <f>O36/O10</f>
        <v>0.14548654799485003</v>
      </c>
      <c r="R36" s="46">
        <f t="shared" si="27"/>
        <v>2572071390</v>
      </c>
      <c r="S36" s="135">
        <f>R36/R10</f>
        <v>0.14390820735187154</v>
      </c>
      <c r="U36" s="46">
        <f t="shared" si="28"/>
        <v>2171197169</v>
      </c>
      <c r="V36" s="135">
        <f>U36/U10</f>
        <v>0.14203828136857255</v>
      </c>
    </row>
    <row r="37" spans="1:22">
      <c r="C37" s="7"/>
      <c r="D37" s="141"/>
      <c r="E37" s="58"/>
      <c r="F37" s="5"/>
      <c r="G37" s="3"/>
      <c r="I37" s="5"/>
      <c r="J37" s="3"/>
      <c r="L37" s="5"/>
      <c r="M37" s="3"/>
      <c r="O37" s="5"/>
      <c r="P37" s="3"/>
      <c r="R37" s="5"/>
      <c r="S37" s="3"/>
      <c r="U37" s="5"/>
      <c r="V37" s="3"/>
    </row>
    <row r="38" spans="1:22">
      <c r="A38" t="s">
        <v>427</v>
      </c>
      <c r="C38" s="5">
        <f t="shared" si="21"/>
        <v>422346096.46080828</v>
      </c>
      <c r="D38" s="3">
        <f t="shared" si="22"/>
        <v>0.42491935378140444</v>
      </c>
      <c r="E38" s="58"/>
      <c r="F38" s="5">
        <f>G38*F12</f>
        <v>296400000</v>
      </c>
      <c r="G38" s="3">
        <f>G$43</f>
        <v>0.4</v>
      </c>
      <c r="I38" s="5">
        <f>J38*I12</f>
        <v>256289808.91719744</v>
      </c>
      <c r="J38" s="3">
        <f>J$43</f>
        <v>0.44187898089171973</v>
      </c>
      <c r="L38" s="5">
        <f>M38*L12</f>
        <v>189486068.11145511</v>
      </c>
      <c r="M38" s="3">
        <f>M$43</f>
        <v>0.44169246646026833</v>
      </c>
      <c r="O38" s="5">
        <f>P38*O12</f>
        <v>144950600.8010681</v>
      </c>
      <c r="P38" s="3">
        <f>P$43</f>
        <v>0.44192256341789055</v>
      </c>
      <c r="R38" s="5">
        <f>S38*R12</f>
        <v>100361145.5108359</v>
      </c>
      <c r="S38" s="3">
        <f>S$43</f>
        <v>0.39984520123839007</v>
      </c>
      <c r="U38" s="5">
        <f>V38*U12</f>
        <v>102246476.7616192</v>
      </c>
      <c r="V38" s="3">
        <f>V$43</f>
        <v>0.39940029985007497</v>
      </c>
    </row>
    <row r="39" spans="1:22">
      <c r="A39" t="s">
        <v>428</v>
      </c>
      <c r="C39" s="5">
        <f t="shared" si="21"/>
        <v>95184612.832597822</v>
      </c>
      <c r="D39" s="3">
        <f t="shared" si="22"/>
        <v>0.42491935378140444</v>
      </c>
      <c r="E39" s="58"/>
      <c r="F39" s="5">
        <f>G39*F13</f>
        <v>66800000</v>
      </c>
      <c r="G39" s="3">
        <f>G$43</f>
        <v>0.4</v>
      </c>
      <c r="I39" s="5">
        <f>J39*I13</f>
        <v>46397292.993630573</v>
      </c>
      <c r="J39" s="3">
        <f>J$43</f>
        <v>0.44187898089171973</v>
      </c>
      <c r="L39" s="5">
        <f>M39*L13</f>
        <v>39752321.981424153</v>
      </c>
      <c r="M39" s="3">
        <f>M$43</f>
        <v>0.44169246646026833</v>
      </c>
      <c r="O39" s="5">
        <f>P39*O13</f>
        <v>36679572.763684914</v>
      </c>
      <c r="P39" s="3">
        <f>P$43</f>
        <v>0.44192256341789055</v>
      </c>
      <c r="R39" s="5">
        <f>S39*R13</f>
        <v>25989938.080495354</v>
      </c>
      <c r="S39" s="3">
        <f>S$43</f>
        <v>0.39984520123839007</v>
      </c>
      <c r="U39" s="5">
        <f>V39*U13</f>
        <v>23964017.991004497</v>
      </c>
      <c r="V39" s="3">
        <f>V$43</f>
        <v>0.39940029985007497</v>
      </c>
    </row>
    <row r="40" spans="1:22">
      <c r="A40" t="s">
        <v>429</v>
      </c>
      <c r="C40" s="5">
        <f t="shared" si="21"/>
        <v>299803032.03560752</v>
      </c>
      <c r="D40" s="3">
        <f t="shared" si="22"/>
        <v>0.42491935378140444</v>
      </c>
      <c r="E40" s="58"/>
      <c r="F40" s="5">
        <f>G40*F14</f>
        <v>210400000</v>
      </c>
      <c r="G40" s="3">
        <f>G$43</f>
        <v>0.4</v>
      </c>
      <c r="I40" s="5">
        <f>J40*I14</f>
        <v>228009554.14012739</v>
      </c>
      <c r="J40" s="3">
        <f>J$43</f>
        <v>0.44187898089171973</v>
      </c>
      <c r="L40" s="5">
        <f>M40*L14</f>
        <v>175793601.65118679</v>
      </c>
      <c r="M40" s="3">
        <f>M$43</f>
        <v>0.44169246646026833</v>
      </c>
      <c r="O40" s="5">
        <f>P40*O14</f>
        <v>129925233.64485982</v>
      </c>
      <c r="P40" s="3">
        <f>P$43</f>
        <v>0.44192256341789055</v>
      </c>
      <c r="R40" s="5">
        <f>S40*R14</f>
        <v>115555263.15789473</v>
      </c>
      <c r="S40" s="3">
        <f>S$43</f>
        <v>0.39984520123839007</v>
      </c>
      <c r="U40" s="5">
        <f>V40*U14</f>
        <v>125012293.85307346</v>
      </c>
      <c r="V40" s="3">
        <f>V$43</f>
        <v>0.39940029985007497</v>
      </c>
    </row>
    <row r="41" spans="1:22" s="8" customFormat="1">
      <c r="A41" s="8" t="s">
        <v>430</v>
      </c>
      <c r="C41" s="46">
        <f t="shared" si="21"/>
        <v>828163128.41775227</v>
      </c>
      <c r="D41" s="135">
        <f t="shared" si="22"/>
        <v>0.42491935378140444</v>
      </c>
      <c r="E41" s="133"/>
      <c r="F41" s="46">
        <f>G41*F16</f>
        <v>581200000</v>
      </c>
      <c r="G41" s="135">
        <f>G$43</f>
        <v>0.4</v>
      </c>
      <c r="I41" s="46">
        <f>J41*I16</f>
        <v>538208598.72611463</v>
      </c>
      <c r="J41" s="135">
        <f>J$43</f>
        <v>0.44187898089171973</v>
      </c>
      <c r="L41" s="46">
        <f>M41*L16</f>
        <v>413865841.07327145</v>
      </c>
      <c r="M41" s="135">
        <f>M$43</f>
        <v>0.44169246646026833</v>
      </c>
      <c r="O41" s="46">
        <f>P41*O16</f>
        <v>317300400.5340454</v>
      </c>
      <c r="P41" s="135">
        <f>P$43</f>
        <v>0.44192256341789055</v>
      </c>
      <c r="R41" s="46">
        <f>S41*R16</f>
        <v>247104334.36532506</v>
      </c>
      <c r="S41" s="135">
        <f>S$43</f>
        <v>0.39984520123839007</v>
      </c>
      <c r="U41" s="46">
        <f>V41*U16</f>
        <v>255616191.90404797</v>
      </c>
      <c r="V41" s="135">
        <f>V$43</f>
        <v>0.39940029985007497</v>
      </c>
    </row>
    <row r="42" spans="1:22">
      <c r="A42" t="s">
        <v>431</v>
      </c>
      <c r="C42" s="5">
        <f t="shared" si="21"/>
        <v>30208290.300165772</v>
      </c>
      <c r="D42" s="3">
        <f t="shared" si="22"/>
        <v>0.42491935378140444</v>
      </c>
      <c r="E42" s="3"/>
      <c r="F42" s="5">
        <f>G42*F17</f>
        <v>21200000</v>
      </c>
      <c r="G42" s="3">
        <f>G$43</f>
        <v>0.4</v>
      </c>
      <c r="I42" s="5">
        <f>J42*I17</f>
        <v>16791401.273885351</v>
      </c>
      <c r="J42" s="3">
        <f>J$43</f>
        <v>0.44187898089171973</v>
      </c>
      <c r="L42" s="5">
        <f>M42*L17</f>
        <v>14575851.393188855</v>
      </c>
      <c r="M42" s="3">
        <f>M$43</f>
        <v>0.44169246646026833</v>
      </c>
      <c r="O42" s="5">
        <f>P42*O17</f>
        <v>13699599.465954607</v>
      </c>
      <c r="P42" s="3">
        <f>P$43</f>
        <v>0.44192256341789055</v>
      </c>
      <c r="R42" s="5">
        <f>S42*R17</f>
        <v>10795820.433436532</v>
      </c>
      <c r="S42" s="3">
        <f>S$43</f>
        <v>0.39984520123839007</v>
      </c>
      <c r="U42" s="5">
        <f>V42*U17</f>
        <v>10783808.095952025</v>
      </c>
      <c r="V42" s="3">
        <f>V$43</f>
        <v>0.39940029985007497</v>
      </c>
    </row>
    <row r="43" spans="1:22" s="8" customFormat="1">
      <c r="A43" s="8" t="s">
        <v>433</v>
      </c>
      <c r="C43" s="46">
        <f t="shared" si="21"/>
        <v>857801450.9764055</v>
      </c>
      <c r="D43" s="135">
        <f t="shared" si="22"/>
        <v>0.42491935378140444</v>
      </c>
      <c r="F43" s="46">
        <v>602000000</v>
      </c>
      <c r="G43" s="135">
        <f>F43/F18</f>
        <v>0.4</v>
      </c>
      <c r="I43" s="46">
        <f>555000000</f>
        <v>555000000</v>
      </c>
      <c r="J43" s="135">
        <f>I43/I18</f>
        <v>0.44187898089171973</v>
      </c>
      <c r="K43" s="46"/>
      <c r="L43" s="46">
        <v>428000000</v>
      </c>
      <c r="M43" s="135">
        <f>L43/L18</f>
        <v>0.44169246646026833</v>
      </c>
      <c r="N43" s="46"/>
      <c r="O43" s="46">
        <v>331000000</v>
      </c>
      <c r="P43" s="135">
        <f>O43/O18</f>
        <v>0.44192256341789055</v>
      </c>
      <c r="Q43" s="46"/>
      <c r="R43" s="46">
        <v>258300000</v>
      </c>
      <c r="S43" s="135">
        <f>R43/R18</f>
        <v>0.39984520123839007</v>
      </c>
      <c r="T43" s="46"/>
      <c r="U43" s="46">
        <v>266400000</v>
      </c>
      <c r="V43" s="135">
        <f>U43/U18</f>
        <v>0.39940029985007497</v>
      </c>
    </row>
    <row r="45" spans="1:22">
      <c r="A45" t="s">
        <v>429</v>
      </c>
      <c r="C45" s="5">
        <f t="shared" si="21"/>
        <v>1740695479.2538476</v>
      </c>
      <c r="D45" s="3">
        <f t="shared" si="22"/>
        <v>0.11820255376005773</v>
      </c>
      <c r="F45" s="5">
        <v>1556690667</v>
      </c>
      <c r="G45" s="3">
        <f>F45/(F20+(F$23*(F20/F$24)))</f>
        <v>0.13284878685660539</v>
      </c>
      <c r="H45" s="5"/>
      <c r="I45" s="5">
        <v>1374260370</v>
      </c>
      <c r="J45" s="3">
        <f>I45/(I20+(I$23*(I20/I$24)))</f>
        <v>0.12199666423639886</v>
      </c>
      <c r="K45" s="5"/>
      <c r="L45" s="5">
        <v>1386145657</v>
      </c>
      <c r="M45" s="3">
        <f>L45/(L20+(L$23*(L20/L$24)))</f>
        <v>0.14559152509621825</v>
      </c>
      <c r="N45" s="5"/>
      <c r="O45" s="5">
        <v>1163304884</v>
      </c>
      <c r="P45" s="3">
        <f>O45/(O20+(O$23*(O20/O$24)))</f>
        <v>9.7720909300108461E-2</v>
      </c>
      <c r="Q45" s="5"/>
      <c r="R45" s="5">
        <v>980474227</v>
      </c>
      <c r="S45" s="3">
        <f>R45/(R20+(R$23*(R20/R$24)))</f>
        <v>9.3747719122837914E-2</v>
      </c>
      <c r="T45" s="5"/>
      <c r="U45" s="5">
        <v>871603340</v>
      </c>
      <c r="V45" s="3">
        <f>U45/(U20+(U$23*(U20/U$24)))</f>
        <v>9.4827928182305246E-2</v>
      </c>
    </row>
    <row r="46" spans="1:22">
      <c r="A46" t="s">
        <v>428</v>
      </c>
      <c r="C46" s="5">
        <f t="shared" si="21"/>
        <v>2245707151.5329661</v>
      </c>
      <c r="D46" s="3">
        <f t="shared" si="22"/>
        <v>0.15680573799459707</v>
      </c>
      <c r="F46" s="5">
        <v>1941300149</v>
      </c>
      <c r="G46" s="3">
        <f>F46/(F21+(F$23*(F21/F$24)))</f>
        <v>0.1433963914236879</v>
      </c>
      <c r="H46" s="5"/>
      <c r="I46" s="5">
        <v>1747138168</v>
      </c>
      <c r="J46" s="3">
        <f>I46/(I21+(I$23*(I21/I$24)))</f>
        <v>0.16438698598178214</v>
      </c>
      <c r="K46" s="5"/>
      <c r="L46" s="5">
        <v>1325720669</v>
      </c>
      <c r="M46" s="3">
        <f>L46/(L21+(L$23*(L21/L$24)))</f>
        <v>0.15666308220292102</v>
      </c>
      <c r="N46" s="5"/>
      <c r="O46" s="5">
        <v>1216260416</v>
      </c>
      <c r="P46" s="3">
        <f>O46/(O21+(O$23*(O21/O$24)))</f>
        <v>0.15927984165466547</v>
      </c>
      <c r="Q46" s="5"/>
      <c r="R46" s="5">
        <v>1089985621</v>
      </c>
      <c r="S46" s="3">
        <f>R46/(R21+(R$23*(R21/R$24)))</f>
        <v>0.16041371295522808</v>
      </c>
      <c r="T46" s="5"/>
      <c r="U46" s="5">
        <v>1006482193</v>
      </c>
      <c r="V46" s="3">
        <f>U46/(U21+(U$23*(U21/U$24)))</f>
        <v>0.17490839098046967</v>
      </c>
    </row>
    <row r="47" spans="1:22">
      <c r="A47" t="s">
        <v>427</v>
      </c>
      <c r="C47" s="5">
        <f t="shared" si="21"/>
        <v>911768351.45187283</v>
      </c>
      <c r="D47" s="3">
        <f t="shared" si="22"/>
        <v>0.14474491584208526</v>
      </c>
      <c r="F47" s="5">
        <v>796481678</v>
      </c>
      <c r="G47" s="3">
        <f>F47/(F22+(F$23*(F22/F$24)))</f>
        <v>0.15650603423386045</v>
      </c>
      <c r="H47" s="5"/>
      <c r="I47" s="5">
        <v>826353573</v>
      </c>
      <c r="J47" s="3">
        <f>I47/(I22+(I$23*(I22/I$24)))</f>
        <v>0.15329103952130854</v>
      </c>
      <c r="K47" s="5"/>
      <c r="L47" s="5">
        <v>628300746</v>
      </c>
      <c r="M47" s="3">
        <f>L47/(L22+(L$23*(L22/L$24)))</f>
        <v>0.13682129548960326</v>
      </c>
      <c r="N47" s="5"/>
      <c r="O47" s="5">
        <v>651769799</v>
      </c>
      <c r="P47" s="3">
        <f>O47/(O22+(O$23*(O22/O$24)))</f>
        <v>0.15269784241851259</v>
      </c>
      <c r="Q47" s="5"/>
      <c r="R47" s="5">
        <v>456994397</v>
      </c>
      <c r="S47" s="3">
        <f>R47/(R22+(R$23*(R22/R$24)))</f>
        <v>0.12473216510943679</v>
      </c>
      <c r="T47" s="5"/>
      <c r="U47" s="5">
        <v>417608521</v>
      </c>
      <c r="V47" s="3">
        <f>U47/(U22+(U$23*(U22/U$24)))</f>
        <v>0.12150091948958097</v>
      </c>
    </row>
    <row r="48" spans="1:22" s="8" customFormat="1">
      <c r="A48" s="8" t="s">
        <v>430</v>
      </c>
      <c r="C48" s="46">
        <f t="shared" si="21"/>
        <v>4879978687.263463</v>
      </c>
      <c r="D48" s="135">
        <f t="shared" si="22"/>
        <v>0.13633949084119168</v>
      </c>
      <c r="F48" s="46">
        <v>4294472494</v>
      </c>
      <c r="G48" s="135">
        <f>F48/F24</f>
        <v>0.1412516032628359</v>
      </c>
      <c r="H48" s="46"/>
      <c r="I48" s="46">
        <v>3947752111</v>
      </c>
      <c r="J48" s="135">
        <f>I48/I24</f>
        <v>0.14465929318431661</v>
      </c>
      <c r="K48" s="46"/>
      <c r="L48" s="46">
        <v>3340167072</v>
      </c>
      <c r="M48" s="135">
        <f>L48/L24</f>
        <v>0.14789971094580234</v>
      </c>
      <c r="N48" s="46"/>
      <c r="O48" s="46">
        <v>3031335099</v>
      </c>
      <c r="P48" s="135">
        <f>O48/O24</f>
        <v>0.12730818105077485</v>
      </c>
      <c r="Q48" s="46"/>
      <c r="R48" s="46">
        <v>2527454245</v>
      </c>
      <c r="S48" s="135">
        <f>R48/R24</f>
        <v>0.12082098785792821</v>
      </c>
      <c r="T48" s="46"/>
      <c r="U48" s="46">
        <v>2295694054</v>
      </c>
      <c r="V48" s="135">
        <f>U48/U24</f>
        <v>0.12487456777632724</v>
      </c>
    </row>
    <row r="49" spans="1:22">
      <c r="A49" t="s">
        <v>431</v>
      </c>
      <c r="C49" s="5">
        <f t="shared" si="21"/>
        <v>87539600.713404387</v>
      </c>
      <c r="D49" s="3">
        <f t="shared" si="22"/>
        <v>0.15338256624396673</v>
      </c>
      <c r="F49" s="5">
        <v>75898148</v>
      </c>
      <c r="G49" s="3">
        <f>F49/F25</f>
        <v>5.4642295176385892E-2</v>
      </c>
      <c r="H49" s="5"/>
      <c r="I49" s="5">
        <v>194599725</v>
      </c>
      <c r="J49" s="3">
        <f>I49/I25</f>
        <v>0.10581823001631321</v>
      </c>
      <c r="K49" s="5"/>
      <c r="L49" s="5">
        <v>129175180</v>
      </c>
      <c r="M49" s="3">
        <f>L49/L25</f>
        <v>0.14712435079726652</v>
      </c>
      <c r="N49" s="5"/>
      <c r="O49" s="5">
        <v>350663299</v>
      </c>
      <c r="P49" s="3">
        <f>O49/O25</f>
        <v>0.22770344090909092</v>
      </c>
      <c r="Q49" s="5"/>
      <c r="R49" s="5">
        <v>302917145</v>
      </c>
      <c r="S49" s="3">
        <f>R49/R25</f>
        <v>0.24272207131410256</v>
      </c>
      <c r="T49" s="5"/>
      <c r="U49" s="5">
        <v>141903115</v>
      </c>
      <c r="V49" s="3">
        <f>U49/U25</f>
        <v>0.13361875235404896</v>
      </c>
    </row>
    <row r="50" spans="1:22" s="8" customFormat="1">
      <c r="A50" s="8" t="s">
        <v>434</v>
      </c>
      <c r="C50" s="46">
        <f t="shared" si="21"/>
        <v>5013692594.1347818</v>
      </c>
      <c r="D50" s="135">
        <f t="shared" si="22"/>
        <v>0.14720077650905616</v>
      </c>
      <c r="F50" s="46">
        <v>4370370642</v>
      </c>
      <c r="G50" s="135">
        <f>F50/F26</f>
        <v>0.13746762210619023</v>
      </c>
      <c r="H50" s="46"/>
      <c r="I50" s="46">
        <v>4142351836</v>
      </c>
      <c r="J50" s="135">
        <f>I50/I26</f>
        <v>0.14221202403185937</v>
      </c>
      <c r="K50" s="46"/>
      <c r="L50" s="46">
        <v>3469342252</v>
      </c>
      <c r="M50" s="135">
        <f>L50/L26</f>
        <v>0.1478769980819232</v>
      </c>
      <c r="N50" s="46"/>
      <c r="O50" s="46">
        <v>3381998398</v>
      </c>
      <c r="P50" s="135">
        <f>O50/O26</f>
        <v>0.15570895018416206</v>
      </c>
      <c r="Q50" s="46"/>
      <c r="R50" s="46">
        <v>2830371390</v>
      </c>
      <c r="S50" s="135">
        <f>R50/R26</f>
        <v>0.15283608132188564</v>
      </c>
      <c r="T50" s="46"/>
      <c r="U50" s="46">
        <v>2437597169</v>
      </c>
      <c r="V50" s="135">
        <f>U50/U26</f>
        <v>0.15279866915313733</v>
      </c>
    </row>
    <row r="51" spans="1:22">
      <c r="C51" s="324"/>
      <c r="D51" s="324"/>
      <c r="E51" s="324"/>
      <c r="F51" s="324"/>
      <c r="G51" s="324"/>
      <c r="H51" s="324"/>
      <c r="I51" s="324"/>
      <c r="J51" s="324"/>
    </row>
    <row r="52" spans="1:22" ht="16.899999999999999" customHeight="1"/>
    <row r="54" spans="1:22" ht="15.6" customHeight="1">
      <c r="F54" s="5"/>
      <c r="G54" s="5"/>
      <c r="H54" s="5"/>
      <c r="I54" s="5"/>
      <c r="J54" s="5"/>
      <c r="K54" s="5"/>
      <c r="L54" s="5"/>
      <c r="M54" s="5"/>
      <c r="N54" s="5"/>
      <c r="O54" s="5"/>
      <c r="P54" s="5"/>
      <c r="Q54" s="5"/>
      <c r="R54" s="5"/>
      <c r="S54" s="5"/>
      <c r="T54" s="5"/>
      <c r="U54" s="5"/>
    </row>
    <row r="55" spans="1:22">
      <c r="A55" t="s">
        <v>435</v>
      </c>
      <c r="F55" s="5">
        <v>28951000000</v>
      </c>
      <c r="G55" s="5"/>
      <c r="H55" s="5"/>
      <c r="I55" s="5">
        <v>26071000000</v>
      </c>
      <c r="J55" s="5"/>
      <c r="K55" s="5">
        <v>0</v>
      </c>
      <c r="L55" s="5">
        <v>21647000000</v>
      </c>
      <c r="M55" s="5"/>
      <c r="N55" s="5"/>
      <c r="O55" s="5">
        <v>19462000000</v>
      </c>
      <c r="P55" s="5"/>
      <c r="Q55" s="5"/>
      <c r="R55" s="5">
        <v>16652000000</v>
      </c>
      <c r="S55" s="5"/>
      <c r="T55" s="5"/>
      <c r="U55" s="5">
        <v>14250000000</v>
      </c>
    </row>
    <row r="56" spans="1:22">
      <c r="A56" t="s">
        <v>429</v>
      </c>
      <c r="F56" s="5">
        <v>4350000000</v>
      </c>
      <c r="G56" s="5"/>
      <c r="H56" s="5"/>
      <c r="I56" s="5">
        <v>4794000000</v>
      </c>
      <c r="J56" s="5"/>
      <c r="K56" s="5">
        <v>0</v>
      </c>
      <c r="L56" s="5">
        <v>4105000000</v>
      </c>
      <c r="M56" s="5"/>
      <c r="N56" s="5"/>
      <c r="O56" s="5">
        <v>3933000000</v>
      </c>
      <c r="P56" s="5"/>
      <c r="Q56" s="5"/>
      <c r="R56" s="5">
        <v>3342000000</v>
      </c>
      <c r="S56" s="5"/>
      <c r="T56" s="5"/>
      <c r="U56" s="5">
        <v>3097000000</v>
      </c>
    </row>
    <row r="57" spans="1:22">
      <c r="A57" t="s">
        <v>428</v>
      </c>
      <c r="F57" s="5">
        <v>12804000000</v>
      </c>
      <c r="G57" s="5"/>
      <c r="H57" s="5"/>
      <c r="I57" s="5">
        <v>10364000000</v>
      </c>
      <c r="J57" s="5"/>
      <c r="K57" s="5">
        <v>0</v>
      </c>
      <c r="L57" s="5">
        <v>8208000000</v>
      </c>
      <c r="M57" s="5"/>
      <c r="N57" s="5"/>
      <c r="O57" s="5">
        <v>7479000000</v>
      </c>
      <c r="P57" s="5"/>
      <c r="Q57" s="5"/>
      <c r="R57" s="5">
        <v>6669000000</v>
      </c>
      <c r="S57" s="5"/>
      <c r="T57" s="5"/>
      <c r="U57" s="5">
        <v>5649000000</v>
      </c>
    </row>
    <row r="58" spans="1:22" s="8" customFormat="1">
      <c r="A58" s="8" t="s">
        <v>427</v>
      </c>
      <c r="F58" s="46">
        <v>10486000000</v>
      </c>
      <c r="G58" s="46"/>
      <c r="H58" s="46"/>
      <c r="I58" s="46">
        <v>10516000000</v>
      </c>
      <c r="J58" s="46"/>
      <c r="K58" s="46">
        <v>0</v>
      </c>
      <c r="L58" s="46">
        <v>8907000000</v>
      </c>
      <c r="M58" s="46"/>
      <c r="N58" s="46"/>
      <c r="O58" s="46">
        <f>(O59+O60)</f>
        <v>7829000000</v>
      </c>
      <c r="P58" s="46"/>
      <c r="Q58" s="46"/>
      <c r="R58" s="46">
        <f>(R59+R60)</f>
        <v>6465000000</v>
      </c>
      <c r="S58" s="46"/>
      <c r="T58" s="46"/>
      <c r="U58" s="46">
        <f>(U59+U60)</f>
        <v>5370000000</v>
      </c>
    </row>
    <row r="59" spans="1:22">
      <c r="A59" t="s">
        <v>436</v>
      </c>
      <c r="F59" s="5">
        <v>0</v>
      </c>
      <c r="G59" s="5"/>
      <c r="H59" s="5"/>
      <c r="I59" s="5">
        <v>1225000000</v>
      </c>
      <c r="J59" s="5"/>
      <c r="K59" s="5">
        <v>0</v>
      </c>
      <c r="L59" s="5">
        <v>1157000000</v>
      </c>
      <c r="M59" s="5"/>
      <c r="N59" s="5"/>
      <c r="O59" s="5">
        <v>1010000000</v>
      </c>
      <c r="P59" s="5"/>
      <c r="Q59" s="5"/>
      <c r="R59" s="5">
        <v>748000000</v>
      </c>
      <c r="S59" s="5"/>
      <c r="T59" s="5"/>
      <c r="U59" s="5">
        <v>598000000</v>
      </c>
    </row>
    <row r="60" spans="1:22">
      <c r="A60" t="s">
        <v>437</v>
      </c>
      <c r="F60" s="5">
        <v>0</v>
      </c>
      <c r="G60" s="5"/>
      <c r="H60" s="5"/>
      <c r="I60" s="5">
        <v>9291000000</v>
      </c>
      <c r="J60" s="5"/>
      <c r="K60" s="5">
        <v>0</v>
      </c>
      <c r="L60" s="5">
        <v>7751000000</v>
      </c>
      <c r="M60" s="5"/>
      <c r="N60" s="5"/>
      <c r="O60" s="5">
        <v>6819000000</v>
      </c>
      <c r="P60" s="5"/>
      <c r="Q60" s="5"/>
      <c r="R60" s="5">
        <v>5717000000</v>
      </c>
      <c r="S60" s="5"/>
      <c r="T60" s="5"/>
      <c r="U60" s="5">
        <v>4772000000</v>
      </c>
    </row>
    <row r="61" spans="1:22">
      <c r="A61" t="s">
        <v>417</v>
      </c>
      <c r="F61" s="5">
        <v>1310000000</v>
      </c>
      <c r="G61" s="5"/>
      <c r="H61" s="5"/>
      <c r="I61" s="5">
        <v>398000000</v>
      </c>
      <c r="J61" s="5"/>
      <c r="K61" s="5">
        <v>0</v>
      </c>
      <c r="L61" s="5">
        <v>427000000</v>
      </c>
      <c r="M61" s="5"/>
      <c r="N61" s="5"/>
      <c r="O61" s="5">
        <v>220000000</v>
      </c>
      <c r="P61" s="5"/>
      <c r="Q61" s="5"/>
      <c r="R61" s="5">
        <v>176000000</v>
      </c>
      <c r="S61" s="5"/>
      <c r="T61" s="5"/>
      <c r="U61" s="5">
        <v>135000000</v>
      </c>
    </row>
    <row r="62" spans="1:22">
      <c r="A62" t="s">
        <v>431</v>
      </c>
      <c r="F62" s="5">
        <v>1336000000</v>
      </c>
      <c r="G62" s="5"/>
      <c r="H62" s="5"/>
      <c r="I62" s="5">
        <v>1801000000</v>
      </c>
      <c r="J62" s="5"/>
      <c r="K62" s="5">
        <v>0</v>
      </c>
      <c r="L62" s="5">
        <v>845000000</v>
      </c>
      <c r="M62" s="5"/>
      <c r="N62" s="5"/>
      <c r="O62" s="5">
        <v>1509000000</v>
      </c>
      <c r="P62" s="5"/>
      <c r="Q62" s="5"/>
      <c r="R62" s="5">
        <v>1221000000</v>
      </c>
      <c r="S62" s="5"/>
      <c r="T62" s="5"/>
      <c r="U62" s="5">
        <v>1035000000</v>
      </c>
    </row>
    <row r="63" spans="1:22">
      <c r="A63" t="s">
        <v>438</v>
      </c>
      <c r="F63" s="5">
        <v>925000000</v>
      </c>
      <c r="G63" s="5"/>
      <c r="H63" s="5"/>
      <c r="I63" s="5">
        <v>1221000000</v>
      </c>
      <c r="J63" s="5"/>
      <c r="K63" s="5">
        <v>0</v>
      </c>
      <c r="L63" s="5">
        <v>724000000</v>
      </c>
      <c r="M63" s="5"/>
      <c r="N63" s="5"/>
      <c r="O63" s="5">
        <v>906000000</v>
      </c>
      <c r="P63" s="5"/>
      <c r="Q63" s="5"/>
      <c r="R63" s="5">
        <v>729000000</v>
      </c>
      <c r="S63" s="5"/>
      <c r="T63" s="5"/>
      <c r="U63" s="5">
        <v>557000000</v>
      </c>
    </row>
    <row r="64" spans="1:22">
      <c r="A64" t="s">
        <v>439</v>
      </c>
      <c r="F64" s="5">
        <v>411000000</v>
      </c>
      <c r="G64" s="5"/>
      <c r="H64" s="5"/>
      <c r="I64" s="5">
        <v>579000000</v>
      </c>
      <c r="J64" s="5"/>
      <c r="K64" s="5">
        <v>0</v>
      </c>
      <c r="L64" s="5">
        <v>121000000</v>
      </c>
      <c r="M64" s="5"/>
      <c r="N64" s="5"/>
      <c r="O64" s="5">
        <v>603000000</v>
      </c>
      <c r="P64" s="5"/>
      <c r="Q64" s="5"/>
      <c r="R64" s="5">
        <v>493000000</v>
      </c>
      <c r="S64" s="5"/>
      <c r="T64" s="5"/>
      <c r="U64" s="5">
        <v>478000000</v>
      </c>
    </row>
    <row r="65" spans="1:21" s="8" customFormat="1" ht="13.9" customHeight="1">
      <c r="A65" s="8" t="s">
        <v>432</v>
      </c>
      <c r="F65" s="46">
        <v>30287000000</v>
      </c>
      <c r="G65" s="46"/>
      <c r="H65" s="46"/>
      <c r="I65" s="46">
        <v>27872000000</v>
      </c>
      <c r="J65" s="46"/>
      <c r="K65" s="46">
        <v>0</v>
      </c>
      <c r="L65" s="46">
        <v>22492000000</v>
      </c>
      <c r="M65" s="46"/>
      <c r="N65" s="46"/>
      <c r="O65" s="46">
        <v>20971000000</v>
      </c>
      <c r="P65" s="46"/>
      <c r="Q65" s="46"/>
      <c r="R65" s="46">
        <v>17873000000</v>
      </c>
      <c r="S65" s="46"/>
      <c r="T65" s="46"/>
      <c r="U65" s="46">
        <v>15286000000</v>
      </c>
    </row>
    <row r="66" spans="1:21">
      <c r="F66" s="5"/>
      <c r="G66" s="5"/>
      <c r="H66" s="5"/>
      <c r="I66" s="5"/>
      <c r="J66" s="5"/>
      <c r="K66" s="5"/>
      <c r="L66" s="5"/>
      <c r="M66" s="5"/>
      <c r="N66" s="5"/>
      <c r="O66" s="5"/>
      <c r="P66" s="5"/>
      <c r="Q66" s="5"/>
      <c r="R66" s="5"/>
      <c r="S66" s="5"/>
      <c r="T66" s="5"/>
      <c r="U66" s="5"/>
    </row>
    <row r="67" spans="1:21">
      <c r="A67" t="s">
        <v>435</v>
      </c>
      <c r="F67" s="5">
        <v>30403000000</v>
      </c>
      <c r="G67" s="5"/>
      <c r="H67" s="5"/>
      <c r="I67" s="5">
        <v>27289000000</v>
      </c>
      <c r="J67" s="5"/>
      <c r="K67" s="5"/>
      <c r="L67" s="5">
        <v>22583000000</v>
      </c>
      <c r="M67" s="5"/>
      <c r="N67" s="5"/>
      <c r="O67" s="5">
        <v>20179000000</v>
      </c>
      <c r="P67" s="5"/>
      <c r="Q67" s="5"/>
      <c r="R67" s="5">
        <v>17271000000</v>
      </c>
      <c r="S67" s="5"/>
      <c r="T67" s="5"/>
      <c r="U67" s="5">
        <v>14891000000</v>
      </c>
    </row>
    <row r="68" spans="1:21">
      <c r="A68" t="s">
        <v>429</v>
      </c>
      <c r="F68" s="5">
        <v>4876000000</v>
      </c>
      <c r="G68" s="5"/>
      <c r="H68" s="5"/>
      <c r="I68" s="5">
        <v>5310000000</v>
      </c>
      <c r="J68" s="5"/>
      <c r="K68" s="5"/>
      <c r="L68" s="5">
        <v>4503000000</v>
      </c>
      <c r="M68" s="5"/>
      <c r="N68" s="5"/>
      <c r="O68" s="5">
        <v>4227000000</v>
      </c>
      <c r="P68" s="5"/>
      <c r="Q68" s="5"/>
      <c r="R68" s="5">
        <v>3631000000</v>
      </c>
      <c r="S68" s="5"/>
      <c r="T68" s="5"/>
      <c r="U68" s="5">
        <v>3410000000</v>
      </c>
    </row>
    <row r="69" spans="1:21">
      <c r="A69" t="s">
        <v>428</v>
      </c>
      <c r="F69" s="5">
        <v>12971000000</v>
      </c>
      <c r="G69" s="5"/>
      <c r="H69" s="5"/>
      <c r="I69" s="5">
        <v>10469000000</v>
      </c>
      <c r="J69" s="5"/>
      <c r="K69" s="5"/>
      <c r="L69" s="5">
        <v>8298000000</v>
      </c>
      <c r="M69" s="5"/>
      <c r="N69" s="5"/>
      <c r="O69" s="5">
        <v>7562000000</v>
      </c>
      <c r="P69" s="5"/>
      <c r="Q69" s="5"/>
      <c r="R69" s="5">
        <v>6734000000</v>
      </c>
      <c r="S69" s="5"/>
      <c r="T69" s="5"/>
      <c r="U69" s="5">
        <v>5709000000</v>
      </c>
    </row>
    <row r="70" spans="1:21">
      <c r="A70" t="s">
        <v>427</v>
      </c>
      <c r="F70" s="5">
        <v>11227000000</v>
      </c>
      <c r="G70" s="5"/>
      <c r="H70" s="5"/>
      <c r="I70" s="5">
        <v>11096000000</v>
      </c>
      <c r="J70" s="5"/>
      <c r="K70" s="5"/>
      <c r="L70" s="5">
        <v>9336000000</v>
      </c>
      <c r="M70" s="5"/>
      <c r="N70" s="5"/>
      <c r="O70" s="5">
        <f>(O72+O71)</f>
        <v>8157000000</v>
      </c>
      <c r="P70" s="5"/>
      <c r="Q70" s="5"/>
      <c r="R70" s="5">
        <f>(R72+R71)</f>
        <v>6716000000</v>
      </c>
      <c r="S70" s="5"/>
      <c r="T70" s="5"/>
      <c r="U70" s="5">
        <f>(U72+U71)</f>
        <v>5626000000</v>
      </c>
    </row>
    <row r="71" spans="1:21">
      <c r="A71" t="s">
        <v>436</v>
      </c>
      <c r="F71" s="5">
        <v>0</v>
      </c>
      <c r="G71" s="5"/>
      <c r="H71" s="5"/>
      <c r="I71" s="5">
        <v>1255000000</v>
      </c>
      <c r="J71" s="5"/>
      <c r="K71" s="5"/>
      <c r="L71" s="5">
        <v>1174000000</v>
      </c>
      <c r="M71" s="5"/>
      <c r="N71" s="5"/>
      <c r="O71" s="5">
        <v>1019000000</v>
      </c>
      <c r="P71" s="5"/>
      <c r="Q71" s="5"/>
      <c r="R71" s="5">
        <v>755000000</v>
      </c>
      <c r="S71" s="5"/>
      <c r="T71" s="5"/>
      <c r="U71" s="5">
        <v>604000000</v>
      </c>
    </row>
    <row r="72" spans="1:21">
      <c r="A72" t="s">
        <v>437</v>
      </c>
      <c r="F72" s="5">
        <v>0</v>
      </c>
      <c r="G72" s="5"/>
      <c r="H72" s="5"/>
      <c r="I72" s="5">
        <v>9841000000</v>
      </c>
      <c r="J72" s="5"/>
      <c r="K72" s="5"/>
      <c r="L72" s="5">
        <v>8162000000</v>
      </c>
      <c r="M72" s="5"/>
      <c r="N72" s="5"/>
      <c r="O72" s="5">
        <v>7138000000</v>
      </c>
      <c r="P72" s="5"/>
      <c r="Q72" s="5"/>
      <c r="R72" s="5">
        <v>5961000000</v>
      </c>
      <c r="S72" s="5"/>
      <c r="T72" s="5"/>
      <c r="U72" s="5">
        <v>5022000000</v>
      </c>
    </row>
    <row r="73" spans="1:21">
      <c r="A73" t="s">
        <v>417</v>
      </c>
      <c r="F73" s="5">
        <v>1329000000</v>
      </c>
      <c r="G73" s="5"/>
      <c r="H73" s="5"/>
      <c r="I73" s="5">
        <v>415000000</v>
      </c>
      <c r="J73" s="5"/>
      <c r="K73" s="5"/>
      <c r="L73" s="5">
        <v>447000000</v>
      </c>
      <c r="M73" s="5"/>
      <c r="N73" s="5"/>
      <c r="O73" s="5">
        <v>233000000</v>
      </c>
      <c r="P73" s="5"/>
      <c r="Q73" s="5"/>
      <c r="R73" s="5">
        <v>189000000</v>
      </c>
      <c r="S73" s="5"/>
      <c r="T73" s="5"/>
      <c r="U73" s="5">
        <v>146000000</v>
      </c>
    </row>
    <row r="74" spans="1:21">
      <c r="A74" t="s">
        <v>431</v>
      </c>
      <c r="F74" s="5">
        <v>1389000000</v>
      </c>
      <c r="G74" s="5"/>
      <c r="H74" s="5"/>
      <c r="I74" s="5">
        <v>1839000000</v>
      </c>
      <c r="J74" s="5"/>
      <c r="K74" s="5"/>
      <c r="L74" s="5">
        <v>878000000</v>
      </c>
      <c r="M74" s="5"/>
      <c r="N74" s="5"/>
      <c r="O74" s="5">
        <v>1540000000</v>
      </c>
      <c r="P74" s="5"/>
      <c r="Q74" s="5"/>
      <c r="R74" s="5">
        <v>1248000000</v>
      </c>
      <c r="S74" s="5"/>
      <c r="T74" s="5"/>
      <c r="U74" s="5">
        <v>1062000000</v>
      </c>
    </row>
    <row r="75" spans="1:21">
      <c r="A75" t="s">
        <v>438</v>
      </c>
      <c r="F75" s="5">
        <v>970000000</v>
      </c>
      <c r="G75" s="5"/>
      <c r="H75" s="5"/>
      <c r="I75" s="5">
        <v>1255000000</v>
      </c>
      <c r="J75" s="5"/>
      <c r="K75" s="5"/>
      <c r="L75" s="5">
        <v>748000000</v>
      </c>
      <c r="M75" s="5"/>
      <c r="N75" s="5"/>
      <c r="O75" s="5">
        <v>927000000</v>
      </c>
      <c r="P75" s="5"/>
      <c r="Q75" s="5"/>
      <c r="R75" s="5">
        <v>750000000</v>
      </c>
      <c r="S75" s="5"/>
      <c r="T75" s="5"/>
      <c r="U75" s="5">
        <v>577000000</v>
      </c>
    </row>
    <row r="76" spans="1:21" ht="13.15" customHeight="1">
      <c r="A76" t="s">
        <v>439</v>
      </c>
      <c r="F76" s="5">
        <v>420000000</v>
      </c>
      <c r="G76" s="5"/>
      <c r="H76" s="5"/>
      <c r="I76" s="5">
        <v>584000000</v>
      </c>
      <c r="J76" s="5"/>
      <c r="K76" s="5"/>
      <c r="L76" s="5">
        <v>130000000</v>
      </c>
      <c r="M76" s="5"/>
      <c r="N76" s="5"/>
      <c r="O76" s="5">
        <v>613000000</v>
      </c>
      <c r="P76" s="5"/>
      <c r="Q76" s="5"/>
      <c r="R76" s="5">
        <v>498000000</v>
      </c>
      <c r="S76" s="5"/>
      <c r="T76" s="5"/>
      <c r="U76" s="5">
        <v>485000000</v>
      </c>
    </row>
    <row r="77" spans="1:21" s="8" customFormat="1">
      <c r="A77" s="8" t="s">
        <v>434</v>
      </c>
      <c r="F77" s="46">
        <v>31792000000</v>
      </c>
      <c r="G77" s="46"/>
      <c r="H77" s="46"/>
      <c r="I77" s="46">
        <v>29128000000</v>
      </c>
      <c r="J77" s="46"/>
      <c r="K77" s="46"/>
      <c r="L77" s="46">
        <v>23461000000</v>
      </c>
      <c r="M77" s="46"/>
      <c r="N77" s="46"/>
      <c r="O77" s="46">
        <v>21720000000</v>
      </c>
      <c r="P77" s="46"/>
      <c r="Q77" s="46"/>
      <c r="R77" s="46">
        <v>18519000000</v>
      </c>
      <c r="S77" s="46"/>
      <c r="T77" s="46"/>
      <c r="U77" s="46">
        <v>15953000000</v>
      </c>
    </row>
    <row r="78" spans="1:21">
      <c r="F78" s="5"/>
      <c r="G78" s="5"/>
      <c r="H78" s="5"/>
      <c r="I78" s="5"/>
      <c r="J78" s="5"/>
      <c r="K78" s="5"/>
      <c r="L78" s="5"/>
      <c r="M78" s="5"/>
      <c r="N78" s="5"/>
      <c r="O78" s="5"/>
      <c r="P78" s="5"/>
      <c r="Q78" s="5"/>
      <c r="R78" s="5"/>
      <c r="S78" s="5"/>
      <c r="T78" s="5"/>
      <c r="U78" s="5"/>
    </row>
    <row r="79" spans="1:21">
      <c r="F79" s="5"/>
      <c r="G79" s="5"/>
      <c r="H79" s="5"/>
      <c r="I79" s="5"/>
      <c r="J79" s="5"/>
      <c r="K79" s="5"/>
      <c r="L79" s="5"/>
      <c r="M79" s="5"/>
      <c r="N79" s="5"/>
      <c r="O79" s="5"/>
      <c r="P79" s="5"/>
      <c r="Q79" s="5"/>
      <c r="R79" s="5"/>
      <c r="S79" s="5"/>
      <c r="T79" s="5"/>
      <c r="U79" s="5"/>
    </row>
    <row r="80" spans="1:21">
      <c r="G80" s="5"/>
      <c r="H80" s="5"/>
      <c r="I80" s="5"/>
      <c r="J80" s="5"/>
      <c r="K80" s="5"/>
      <c r="L80" s="5"/>
      <c r="M80" s="5"/>
      <c r="N80" s="5"/>
      <c r="O80" s="5"/>
      <c r="P80" s="5"/>
      <c r="Q80" s="5"/>
      <c r="R80" s="5"/>
      <c r="S80" s="5"/>
      <c r="T80" s="5"/>
      <c r="U80" s="5"/>
    </row>
    <row r="81" spans="1:22">
      <c r="A81" t="s">
        <v>440</v>
      </c>
      <c r="C81" s="5">
        <f>C46+C45</f>
        <v>3986402630.7868137</v>
      </c>
      <c r="F81" s="5">
        <f>F46+F45</f>
        <v>3497990816</v>
      </c>
      <c r="G81" s="5"/>
      <c r="H81" s="5"/>
      <c r="I81" s="5">
        <f>I46+I45</f>
        <v>3121398538</v>
      </c>
      <c r="J81" s="5"/>
      <c r="K81" s="5"/>
      <c r="L81" s="5">
        <f>L46+L45</f>
        <v>2711866326</v>
      </c>
      <c r="M81" s="5"/>
      <c r="N81" s="5"/>
      <c r="O81" s="5">
        <f>O46+O45</f>
        <v>2379565300</v>
      </c>
      <c r="P81" s="5"/>
      <c r="Q81" s="5"/>
      <c r="R81" s="5">
        <f>R46+R45</f>
        <v>2070459848</v>
      </c>
      <c r="S81" s="5"/>
      <c r="T81" s="5"/>
      <c r="U81" s="5">
        <f>U46+U45</f>
        <v>1878085533</v>
      </c>
    </row>
    <row r="82" spans="1:22" ht="13.9" customHeight="1">
      <c r="A82" t="s">
        <v>441</v>
      </c>
      <c r="C82" s="5">
        <f>C47+C49</f>
        <v>999307952.16527724</v>
      </c>
      <c r="F82" s="5">
        <f>F47</f>
        <v>796481678</v>
      </c>
      <c r="G82" s="5"/>
      <c r="H82" s="5"/>
      <c r="I82" s="5">
        <f>I47</f>
        <v>826353573</v>
      </c>
      <c r="J82" s="5"/>
      <c r="K82" s="5"/>
      <c r="L82" s="5">
        <f>L47</f>
        <v>628300746</v>
      </c>
      <c r="M82" s="5"/>
      <c r="N82" s="5"/>
      <c r="O82" s="5">
        <f>O47</f>
        <v>651769799</v>
      </c>
      <c r="P82" s="5"/>
      <c r="Q82" s="5"/>
      <c r="R82" s="5">
        <f>R47</f>
        <v>456994397</v>
      </c>
      <c r="S82" s="5"/>
      <c r="T82" s="5"/>
      <c r="U82" s="5">
        <f>U47</f>
        <v>417608521</v>
      </c>
    </row>
    <row r="83" spans="1:22">
      <c r="A83" t="s">
        <v>442</v>
      </c>
      <c r="C83" s="4">
        <f>C81*C84</f>
        <v>259116171.00114289</v>
      </c>
      <c r="F83" s="63">
        <f>F89</f>
        <v>460196912</v>
      </c>
      <c r="I83" s="63">
        <f>I89</f>
        <v>353949375</v>
      </c>
      <c r="L83" s="63">
        <f>L89</f>
        <v>196757107</v>
      </c>
      <c r="O83" s="63">
        <f>O89</f>
        <v>98637738</v>
      </c>
      <c r="R83" s="63">
        <f>R89</f>
        <v>108385506</v>
      </c>
      <c r="U83" s="63">
        <f>U89</f>
        <v>114247880</v>
      </c>
    </row>
    <row r="84" spans="1:22" s="8" customFormat="1">
      <c r="A84" s="8" t="s">
        <v>443</v>
      </c>
      <c r="C84" s="307">
        <v>6.5000000000000002E-2</v>
      </c>
      <c r="F84" s="135">
        <f>F83/F81</f>
        <v>0.13156035455983311</v>
      </c>
      <c r="G84" s="46"/>
      <c r="H84" s="46"/>
      <c r="I84" s="135">
        <f>I83/I81</f>
        <v>0.11339448349546193</v>
      </c>
      <c r="J84" s="46"/>
      <c r="K84" s="46"/>
      <c r="L84" s="135">
        <f>L83/L81</f>
        <v>7.2554131858783955E-2</v>
      </c>
      <c r="M84" s="46"/>
      <c r="N84" s="46"/>
      <c r="O84" s="135">
        <f>O83/O81</f>
        <v>4.1451998816758671E-2</v>
      </c>
      <c r="P84" s="46"/>
      <c r="Q84" s="46"/>
      <c r="R84" s="135">
        <f>R83/R81</f>
        <v>5.2348518665888182E-2</v>
      </c>
      <c r="S84" s="46"/>
      <c r="T84" s="46"/>
      <c r="U84" s="135">
        <f>U83/U81</f>
        <v>6.0832096298353198E-2</v>
      </c>
    </row>
    <row r="85" spans="1:22">
      <c r="A85" t="s">
        <v>444</v>
      </c>
      <c r="C85" s="308">
        <v>10</v>
      </c>
      <c r="F85" s="3">
        <f>'Saving Account Rate'!D11</f>
        <v>0.17032786885245901</v>
      </c>
      <c r="G85" s="3"/>
      <c r="H85" s="3"/>
      <c r="I85" s="3">
        <f>'Saving Account Rate'!D20</f>
        <v>0.19669863013698627</v>
      </c>
      <c r="J85" s="3"/>
      <c r="K85" s="3"/>
      <c r="L85" s="3">
        <f>'Saving Account Rate'!D29</f>
        <v>0.12908904109589042</v>
      </c>
      <c r="M85" s="3"/>
      <c r="N85" s="3"/>
      <c r="O85" s="3">
        <f>'Saving Account Rate'!D36</f>
        <v>6.2130136986301376E-2</v>
      </c>
      <c r="P85" s="3"/>
      <c r="Q85" s="3"/>
      <c r="R85" s="3">
        <f>'Saving Account Rate'!D45</f>
        <v>7.116120218579236E-2</v>
      </c>
      <c r="S85" s="3"/>
      <c r="T85" s="3"/>
      <c r="U85" s="3">
        <f>'Saving Account Rate'!D54</f>
        <v>0.10800684931506849</v>
      </c>
    </row>
    <row r="86" spans="1:22" s="8" customFormat="1">
      <c r="F86" s="46"/>
      <c r="G86" s="46"/>
      <c r="H86" s="46"/>
      <c r="I86" s="46"/>
      <c r="J86" s="46"/>
      <c r="K86" s="46"/>
      <c r="L86" s="46"/>
      <c r="M86" s="46"/>
      <c r="N86" s="46"/>
      <c r="O86" s="46"/>
      <c r="P86" s="46"/>
      <c r="Q86" s="46"/>
      <c r="R86" s="46"/>
      <c r="S86" s="46"/>
      <c r="T86" s="46"/>
      <c r="U86" s="46"/>
    </row>
    <row r="87" spans="1:22">
      <c r="F87" s="5"/>
      <c r="G87" s="5"/>
      <c r="H87" s="5"/>
      <c r="I87" s="5"/>
      <c r="J87" s="5"/>
      <c r="K87" s="5"/>
      <c r="L87" s="5"/>
      <c r="M87" s="5"/>
      <c r="N87" s="5"/>
      <c r="O87" s="5"/>
      <c r="P87" s="5"/>
      <c r="Q87" s="5"/>
      <c r="R87" s="5"/>
      <c r="S87" s="5"/>
      <c r="T87" s="5"/>
      <c r="U87" s="5"/>
    </row>
    <row r="88" spans="1:22" s="8" customFormat="1">
      <c r="G88" s="46"/>
      <c r="H88" s="46"/>
      <c r="I88" s="46"/>
      <c r="J88" s="46"/>
      <c r="K88" s="46"/>
      <c r="M88" s="46"/>
      <c r="N88" s="46"/>
      <c r="O88" s="46"/>
      <c r="P88" s="46"/>
      <c r="Q88" s="46"/>
      <c r="R88"/>
      <c r="S88" s="46"/>
      <c r="T88" s="46"/>
      <c r="U88" s="46"/>
    </row>
    <row r="89" spans="1:22">
      <c r="A89" t="s">
        <v>199</v>
      </c>
      <c r="C89" s="5">
        <f>C83</f>
        <v>259116171.00114289</v>
      </c>
      <c r="D89" s="5"/>
      <c r="E89" s="5"/>
      <c r="F89" s="5">
        <v>460196912</v>
      </c>
      <c r="G89" s="5"/>
      <c r="H89" s="5"/>
      <c r="I89" s="5">
        <v>353949375</v>
      </c>
      <c r="J89" s="5"/>
      <c r="K89" s="5"/>
      <c r="L89" s="5">
        <v>196757107</v>
      </c>
      <c r="M89" s="5"/>
      <c r="N89" s="5"/>
      <c r="O89" s="5">
        <v>98637738</v>
      </c>
      <c r="P89" s="5"/>
      <c r="Q89" s="5"/>
      <c r="R89" s="5">
        <v>108385506</v>
      </c>
      <c r="S89" s="5"/>
      <c r="T89" s="5"/>
      <c r="U89" s="5">
        <v>114247880</v>
      </c>
    </row>
    <row r="90" spans="1:22">
      <c r="A90" t="s">
        <v>200</v>
      </c>
      <c r="C90" s="5">
        <f>AVERAGE(F90,I90,L90,O90,R90,U90)</f>
        <v>39604241.666666664</v>
      </c>
      <c r="D90" s="5"/>
      <c r="E90" s="5"/>
      <c r="F90" s="5">
        <v>58439060</v>
      </c>
      <c r="G90" s="5"/>
      <c r="H90" s="5"/>
      <c r="I90" s="5">
        <v>72977249</v>
      </c>
      <c r="J90" s="5"/>
      <c r="K90" s="5"/>
      <c r="L90" s="5">
        <v>50773232</v>
      </c>
      <c r="M90" s="5"/>
      <c r="N90" s="5"/>
      <c r="O90" s="5">
        <v>16759954</v>
      </c>
      <c r="P90" s="5"/>
      <c r="Q90" s="5"/>
      <c r="R90" s="5">
        <v>15423539</v>
      </c>
      <c r="S90" s="5"/>
      <c r="T90" s="5"/>
      <c r="U90" s="5">
        <v>23252416</v>
      </c>
    </row>
    <row r="91" spans="1:22">
      <c r="A91" t="s">
        <v>81</v>
      </c>
      <c r="C91" s="5">
        <f>C101*C102</f>
        <v>21954077.772560716</v>
      </c>
      <c r="D91" s="5"/>
      <c r="E91" s="5"/>
      <c r="F91" s="5">
        <v>30300563</v>
      </c>
      <c r="G91" s="3"/>
      <c r="H91" s="5"/>
      <c r="I91" s="5">
        <v>29163689</v>
      </c>
      <c r="J91" s="3"/>
      <c r="K91" s="5"/>
      <c r="L91" s="5">
        <v>11550696</v>
      </c>
      <c r="M91" s="3"/>
      <c r="N91" s="5"/>
      <c r="O91" s="5">
        <v>5674142</v>
      </c>
      <c r="P91" s="3"/>
      <c r="Q91" s="5"/>
      <c r="R91" s="5">
        <v>7131338</v>
      </c>
      <c r="S91" s="3"/>
      <c r="T91" s="5"/>
      <c r="U91" s="5">
        <v>9124238</v>
      </c>
      <c r="V91" s="3"/>
    </row>
    <row r="92" spans="1:22">
      <c r="A92" t="s">
        <v>84</v>
      </c>
      <c r="C92" s="5">
        <f>C104*C105</f>
        <v>3576900.3823187072</v>
      </c>
      <c r="D92" s="5"/>
      <c r="E92" s="5"/>
      <c r="F92" s="5">
        <v>4096181</v>
      </c>
      <c r="G92" s="5"/>
      <c r="H92" s="5"/>
      <c r="I92" s="5">
        <v>4281784</v>
      </c>
      <c r="J92" s="5"/>
      <c r="K92" s="5"/>
      <c r="L92" s="5">
        <v>1891880</v>
      </c>
      <c r="M92" s="5"/>
      <c r="N92" s="5"/>
      <c r="O92" s="5">
        <v>1239075</v>
      </c>
      <c r="P92" s="5"/>
      <c r="Q92" s="5"/>
      <c r="R92" s="5">
        <v>2603244</v>
      </c>
      <c r="S92" s="5"/>
      <c r="T92" s="5"/>
      <c r="U92" s="5">
        <v>2038901</v>
      </c>
    </row>
    <row r="93" spans="1:22">
      <c r="A93" t="s">
        <v>201</v>
      </c>
      <c r="C93" s="5">
        <f>AVERAGE(F93,I93,L93,O93,R93,U93)</f>
        <v>6834930.166666667</v>
      </c>
      <c r="D93" s="5"/>
      <c r="E93" s="5"/>
      <c r="F93" s="5">
        <v>10985531</v>
      </c>
      <c r="G93" s="5"/>
      <c r="H93" s="5"/>
      <c r="I93" s="5">
        <v>6494349</v>
      </c>
      <c r="J93" s="5"/>
      <c r="K93" s="5"/>
      <c r="L93" s="5">
        <v>6420260</v>
      </c>
      <c r="M93" s="5"/>
      <c r="N93" s="5"/>
      <c r="O93" s="5">
        <v>5271210</v>
      </c>
      <c r="P93" s="5"/>
      <c r="Q93" s="5"/>
      <c r="R93" s="5">
        <v>5668401</v>
      </c>
      <c r="S93" s="5"/>
      <c r="T93" s="5"/>
      <c r="U93" s="5">
        <v>6169830</v>
      </c>
    </row>
    <row r="94" spans="1:22">
      <c r="A94" t="s">
        <v>202</v>
      </c>
      <c r="C94" s="5">
        <f>C98*C99</f>
        <v>3985416.0395019152</v>
      </c>
      <c r="D94" s="5"/>
      <c r="E94" s="5"/>
      <c r="F94" s="5">
        <v>3551598</v>
      </c>
      <c r="G94" s="5"/>
      <c r="H94" s="5"/>
      <c r="I94" s="5">
        <v>3345591</v>
      </c>
      <c r="J94" s="5"/>
      <c r="K94" s="5"/>
      <c r="L94" s="5">
        <v>3145165</v>
      </c>
      <c r="M94" s="5"/>
      <c r="N94" s="5"/>
      <c r="O94" s="5">
        <v>3252794</v>
      </c>
      <c r="P94" s="5"/>
      <c r="Q94" s="5"/>
      <c r="R94" s="5">
        <v>1920912</v>
      </c>
      <c r="S94" s="5"/>
      <c r="T94" s="5"/>
      <c r="U94" s="5">
        <v>1957331</v>
      </c>
    </row>
    <row r="95" spans="1:22" s="8" customFormat="1">
      <c r="A95" s="8" t="s">
        <v>445</v>
      </c>
      <c r="C95" s="46">
        <f>SUM(C89:C94)</f>
        <v>335071737.02885759</v>
      </c>
      <c r="D95" s="46"/>
      <c r="E95" s="46"/>
      <c r="F95" s="46">
        <f>'P&amp;L'!F4</f>
        <v>567569845</v>
      </c>
      <c r="G95" s="46"/>
      <c r="H95" s="46"/>
      <c r="I95" s="46">
        <f>'P&amp;L'!H4</f>
        <v>470212037</v>
      </c>
      <c r="J95" s="46"/>
      <c r="K95" s="46"/>
      <c r="L95" s="46">
        <f>'P&amp;L'!J4</f>
        <v>270538340</v>
      </c>
      <c r="M95" s="46"/>
      <c r="N95" s="46"/>
      <c r="O95" s="46">
        <f>'P&amp;L'!L4</f>
        <v>130834913</v>
      </c>
      <c r="P95" s="46"/>
      <c r="Q95" s="46"/>
      <c r="R95" s="46">
        <f>'P&amp;L'!N4</f>
        <v>141132940</v>
      </c>
      <c r="S95" s="46"/>
      <c r="T95" s="46"/>
      <c r="U95" s="46">
        <f>'P&amp;L'!P4</f>
        <v>156790596</v>
      </c>
    </row>
    <row r="98" spans="1:22">
      <c r="A98" t="s">
        <v>206</v>
      </c>
      <c r="C98" s="63">
        <f>'P&amp;L'!D147</f>
        <v>27408020</v>
      </c>
      <c r="F98" s="63">
        <f>'P&amp;L'!F147</f>
        <v>24654745</v>
      </c>
      <c r="I98" s="63">
        <f>'P&amp;L'!H147</f>
        <v>22818230</v>
      </c>
      <c r="L98" s="63">
        <f>'P&amp;L'!J147</f>
        <v>19821558</v>
      </c>
      <c r="O98" s="63">
        <f>'P&amp;L'!L147</f>
        <v>16855856</v>
      </c>
      <c r="R98" s="63">
        <f>'P&amp;L'!N147</f>
        <v>15975664</v>
      </c>
      <c r="U98" s="63">
        <f>'P&amp;L'!P147</f>
        <v>17810109</v>
      </c>
    </row>
    <row r="99" spans="1:22">
      <c r="A99" t="s">
        <v>446</v>
      </c>
      <c r="C99" s="141">
        <f>AVERAGE(F99,I99,L99,O99,R99,U99)</f>
        <v>0.14541057834538632</v>
      </c>
      <c r="F99" s="3">
        <f>F94/F98</f>
        <v>0.14405332523212064</v>
      </c>
      <c r="I99" s="3">
        <f>I94/I98</f>
        <v>0.14661921630205324</v>
      </c>
      <c r="L99" s="3">
        <f>L94/L98</f>
        <v>0.15867395489295039</v>
      </c>
      <c r="O99" s="3">
        <f>O94/O98</f>
        <v>0.19297708760682342</v>
      </c>
      <c r="R99" s="3">
        <f>R94/R98</f>
        <v>0.12023988486487948</v>
      </c>
      <c r="U99" s="3">
        <f>U94/U98</f>
        <v>0.10990000117349086</v>
      </c>
    </row>
    <row r="101" spans="1:22">
      <c r="A101" t="s">
        <v>81</v>
      </c>
      <c r="C101" s="63">
        <f>SOFP!D18</f>
        <v>876594545.98138881</v>
      </c>
      <c r="F101" s="63">
        <f>SOFP!F18</f>
        <v>826883400</v>
      </c>
      <c r="I101" s="63">
        <f>SOFP!H18</f>
        <v>665042679</v>
      </c>
      <c r="L101" s="63">
        <f>SOFP!J18</f>
        <v>583771399</v>
      </c>
      <c r="O101" s="63">
        <f>SOFP!L18</f>
        <v>436258005</v>
      </c>
      <c r="R101" s="63">
        <f>SOFP!N18</f>
        <v>544107826</v>
      </c>
      <c r="U101" s="63">
        <f>SOFP!P18</f>
        <v>382206306</v>
      </c>
    </row>
    <row r="102" spans="1:22">
      <c r="A102" t="s">
        <v>447</v>
      </c>
      <c r="C102" s="141">
        <f>AVERAGE(F102,I102,L102,O102,R102,U102)</f>
        <v>2.5044734618993199E-2</v>
      </c>
      <c r="F102" s="3">
        <f>F91/F101</f>
        <v>3.6644299546949421E-2</v>
      </c>
      <c r="I102" s="3">
        <f>I91/I101</f>
        <v>4.3852357030457589E-2</v>
      </c>
      <c r="L102" s="3">
        <f>L91/L101</f>
        <v>1.9786334205112367E-2</v>
      </c>
      <c r="O102" s="3">
        <f>O91/O101</f>
        <v>1.3006390564684309E-2</v>
      </c>
      <c r="R102" s="3">
        <f>R91/R101</f>
        <v>1.3106479376387429E-2</v>
      </c>
      <c r="U102" s="3">
        <f>U91/U101</f>
        <v>2.3872546990368077E-2</v>
      </c>
    </row>
    <row r="103" spans="1:22" s="151" customFormat="1">
      <c r="C103" s="320"/>
      <c r="F103" s="142"/>
      <c r="I103" s="142"/>
      <c r="L103" s="142"/>
      <c r="O103" s="142"/>
      <c r="R103" s="142"/>
      <c r="U103" s="142"/>
    </row>
    <row r="104" spans="1:22">
      <c r="A104" t="s">
        <v>84</v>
      </c>
      <c r="C104" s="63">
        <f>SOFP!D21</f>
        <v>21012075.575282022</v>
      </c>
      <c r="F104" s="63">
        <f>SOFP!F21</f>
        <v>20374000</v>
      </c>
      <c r="I104" s="63">
        <f>SOFP!H21</f>
        <v>19699000</v>
      </c>
      <c r="L104" s="63">
        <f>SOFP!J21</f>
        <v>18874000</v>
      </c>
      <c r="O104" s="63">
        <f>SOFP!L21</f>
        <v>12374000</v>
      </c>
      <c r="R104" s="63">
        <f>SOFP!N21</f>
        <v>22356000</v>
      </c>
      <c r="U104" s="63">
        <f>SOFP!P21</f>
        <v>22360000</v>
      </c>
    </row>
    <row r="105" spans="1:22">
      <c r="A105" t="s">
        <v>448</v>
      </c>
      <c r="C105" s="141">
        <f>AVERAGE(F105,I105,L105,O105,R105,U105)</f>
        <v>0.17023070231702697</v>
      </c>
      <c r="F105" s="3">
        <f>F92/F104</f>
        <v>0.20104942573868656</v>
      </c>
      <c r="I105" s="3">
        <f>I92/I104</f>
        <v>0.21736047515102289</v>
      </c>
      <c r="L105" s="3">
        <f>L94/L104</f>
        <v>0.16664008689202076</v>
      </c>
      <c r="O105" s="3">
        <f>O94/O104</f>
        <v>0.26287328268951027</v>
      </c>
      <c r="R105" s="3">
        <f>R94/R104</f>
        <v>8.592377885131508E-2</v>
      </c>
      <c r="U105" s="3">
        <f>U94/U104</f>
        <v>8.7537164579606447E-2</v>
      </c>
    </row>
    <row r="107" spans="1:22">
      <c r="A107" t="s">
        <v>188</v>
      </c>
      <c r="C107" s="3">
        <v>0.115</v>
      </c>
      <c r="D107" s="3"/>
      <c r="E107" s="3"/>
      <c r="F107" s="3">
        <f>'Policy Rate'!D103</f>
        <v>0.18032786885245902</v>
      </c>
      <c r="G107" s="3"/>
      <c r="H107" s="3"/>
      <c r="I107" s="3">
        <f>'Policy Rate'!D112</f>
        <v>0.21386301369863014</v>
      </c>
      <c r="J107" s="3"/>
      <c r="K107" s="3"/>
      <c r="L107" s="3">
        <f>'Policy Rate'!D121</f>
        <v>0.14582876712328768</v>
      </c>
      <c r="M107" s="3"/>
      <c r="N107" s="3"/>
      <c r="O107" s="3">
        <f>'Policy Rate'!D129</f>
        <v>7.7787671232876707E-2</v>
      </c>
      <c r="P107" s="3"/>
      <c r="Q107" s="3"/>
      <c r="R107" s="141">
        <f>'Policy Rate'!D141</f>
        <v>8.443989071038252E-2</v>
      </c>
      <c r="S107" s="3"/>
      <c r="T107" s="3"/>
      <c r="U107" s="3">
        <f>'Policy Rate'!D150</f>
        <v>0.12454109589041097</v>
      </c>
      <c r="V107" s="3"/>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F4CC-C103-41C6-B57D-53048C7458D7}">
  <dimension ref="A1:D54"/>
  <sheetViews>
    <sheetView showGridLines="0" workbookViewId="0">
      <selection activeCell="F30" sqref="F30"/>
    </sheetView>
  </sheetViews>
  <sheetFormatPr defaultRowHeight="14.45"/>
  <cols>
    <col min="1" max="1" width="18.28515625" bestFit="1" customWidth="1"/>
    <col min="2" max="2" width="13.5703125" customWidth="1"/>
    <col min="3" max="3" width="14.140625" customWidth="1"/>
    <col min="4" max="4" width="13.140625" bestFit="1" customWidth="1"/>
  </cols>
  <sheetData>
    <row r="1" spans="1:4">
      <c r="A1" s="33" t="s">
        <v>0</v>
      </c>
    </row>
    <row r="2" spans="1:4">
      <c r="A2" s="33" t="s">
        <v>449</v>
      </c>
    </row>
    <row r="4" spans="1:4">
      <c r="A4" s="33" t="s">
        <v>399</v>
      </c>
      <c r="B4" s="33" t="s">
        <v>400</v>
      </c>
      <c r="C4" s="33" t="s">
        <v>401</v>
      </c>
      <c r="D4" s="167" t="s">
        <v>402</v>
      </c>
    </row>
    <row r="5" spans="1:4">
      <c r="A5" s="157">
        <v>45657</v>
      </c>
      <c r="B5" s="156">
        <v>0.13500000000000001</v>
      </c>
      <c r="C5" s="159">
        <f>A5-A6+1</f>
        <v>31</v>
      </c>
      <c r="D5" s="161">
        <f>(B5*C5)</f>
        <v>4.1850000000000005</v>
      </c>
    </row>
    <row r="6" spans="1:4">
      <c r="A6" s="160">
        <v>45627</v>
      </c>
      <c r="B6" s="156">
        <v>0.13500000000000001</v>
      </c>
      <c r="C6">
        <f>A6-A7</f>
        <v>61</v>
      </c>
      <c r="D6" s="161">
        <f>(B6*C6)</f>
        <v>8.2350000000000012</v>
      </c>
    </row>
    <row r="7" spans="1:4">
      <c r="A7" s="160">
        <v>45566</v>
      </c>
      <c r="B7" s="156">
        <v>0.16</v>
      </c>
      <c r="C7">
        <f>A7-A8</f>
        <v>61</v>
      </c>
      <c r="D7" s="161">
        <f>(B7*C7)</f>
        <v>9.76</v>
      </c>
    </row>
    <row r="8" spans="1:4">
      <c r="A8" s="160">
        <v>45505</v>
      </c>
      <c r="B8" s="156">
        <v>0.18</v>
      </c>
      <c r="C8">
        <f>A8-A9</f>
        <v>31</v>
      </c>
      <c r="D8" s="161">
        <f>(B8*C8)</f>
        <v>5.58</v>
      </c>
    </row>
    <row r="9" spans="1:4">
      <c r="A9" s="155">
        <v>45474</v>
      </c>
      <c r="B9" s="156">
        <v>0.19</v>
      </c>
      <c r="C9">
        <f>A9-A10</f>
        <v>182</v>
      </c>
      <c r="D9" s="161">
        <f>(B9*C9)</f>
        <v>34.58</v>
      </c>
    </row>
    <row r="10" spans="1:4">
      <c r="A10" s="155">
        <v>45292</v>
      </c>
      <c r="B10" s="156">
        <v>0.20499999999999999</v>
      </c>
      <c r="D10" s="161"/>
    </row>
    <row r="11" spans="1:4">
      <c r="A11" s="165"/>
      <c r="B11" s="166"/>
      <c r="C11" s="166">
        <f>SUM(C5:C10)</f>
        <v>366</v>
      </c>
      <c r="D11" s="168">
        <f>SUM(D5:D10)/C11</f>
        <v>0.17032786885245901</v>
      </c>
    </row>
    <row r="13" spans="1:4">
      <c r="A13" s="33" t="s">
        <v>399</v>
      </c>
      <c r="B13" s="33" t="s">
        <v>400</v>
      </c>
      <c r="C13" s="33" t="s">
        <v>401</v>
      </c>
      <c r="D13" s="167" t="s">
        <v>402</v>
      </c>
    </row>
    <row r="14" spans="1:4">
      <c r="A14" s="157">
        <v>45291</v>
      </c>
      <c r="B14" s="156">
        <v>0.20499999999999999</v>
      </c>
      <c r="C14" s="159">
        <f>A14-A15+1</f>
        <v>184</v>
      </c>
      <c r="D14" s="161">
        <f>(B14*C14)</f>
        <v>37.72</v>
      </c>
    </row>
    <row r="15" spans="1:4">
      <c r="A15" s="160">
        <v>45108</v>
      </c>
      <c r="B15" s="156">
        <v>0.20499999999999999</v>
      </c>
      <c r="C15">
        <f>A15-A16</f>
        <v>61</v>
      </c>
      <c r="D15" s="161">
        <f>(B15*C15)</f>
        <v>12.504999999999999</v>
      </c>
    </row>
    <row r="16" spans="1:4">
      <c r="A16" s="160">
        <v>45047</v>
      </c>
      <c r="B16" s="156">
        <v>0.19500000000000001</v>
      </c>
      <c r="C16">
        <f>A16-A17</f>
        <v>30</v>
      </c>
      <c r="D16" s="161">
        <f>(B16*C16)</f>
        <v>5.8500000000000005</v>
      </c>
    </row>
    <row r="17" spans="1:4">
      <c r="A17" s="160">
        <v>45017</v>
      </c>
      <c r="B17" s="156">
        <v>0.185</v>
      </c>
      <c r="C17">
        <f>A17-A18</f>
        <v>59</v>
      </c>
      <c r="D17" s="161">
        <f>(B17*C17)</f>
        <v>10.914999999999999</v>
      </c>
    </row>
    <row r="18" spans="1:4">
      <c r="A18" s="155">
        <v>44958</v>
      </c>
      <c r="B18" s="156">
        <v>0.155</v>
      </c>
      <c r="C18">
        <f>A18-A19</f>
        <v>31</v>
      </c>
      <c r="D18" s="161">
        <f>(B18*C18)</f>
        <v>4.8049999999999997</v>
      </c>
    </row>
    <row r="19" spans="1:4">
      <c r="A19" s="155">
        <v>44927</v>
      </c>
      <c r="B19" s="156">
        <v>0.14499999999999999</v>
      </c>
      <c r="D19" s="161"/>
    </row>
    <row r="20" spans="1:4">
      <c r="A20" s="165"/>
      <c r="B20" s="166"/>
      <c r="C20" s="166">
        <f>SUM(C14:C19)</f>
        <v>365</v>
      </c>
      <c r="D20" s="168">
        <f>SUM(D14:D19)/C20</f>
        <v>0.19669863013698627</v>
      </c>
    </row>
    <row r="22" spans="1:4">
      <c r="A22" s="33" t="s">
        <v>399</v>
      </c>
      <c r="B22" s="33" t="s">
        <v>400</v>
      </c>
      <c r="C22" s="33" t="s">
        <v>401</v>
      </c>
      <c r="D22" s="167" t="s">
        <v>402</v>
      </c>
    </row>
    <row r="23" spans="1:4">
      <c r="A23" s="157">
        <v>44926</v>
      </c>
      <c r="B23" s="156">
        <v>0.14499999999999999</v>
      </c>
      <c r="C23" s="159">
        <f>A23-A24+1</f>
        <v>31</v>
      </c>
      <c r="D23" s="161">
        <f>(B23*C23)</f>
        <v>4.4950000000000001</v>
      </c>
    </row>
    <row r="24" spans="1:4">
      <c r="A24" s="160">
        <v>44896</v>
      </c>
      <c r="B24" s="156">
        <v>0.14499999999999999</v>
      </c>
      <c r="C24">
        <f>A24-A25</f>
        <v>122</v>
      </c>
      <c r="D24" s="161">
        <f>(B24*C24)</f>
        <v>17.689999999999998</v>
      </c>
    </row>
    <row r="25" spans="1:4">
      <c r="A25" s="160">
        <v>44774</v>
      </c>
      <c r="B25" s="156">
        <v>0.13500000000000001</v>
      </c>
      <c r="C25">
        <f>A25-A26</f>
        <v>61</v>
      </c>
      <c r="D25" s="161">
        <f>(B25*C25)</f>
        <v>8.2350000000000012</v>
      </c>
    </row>
    <row r="26" spans="1:4">
      <c r="A26" s="160">
        <v>44713</v>
      </c>
      <c r="B26" s="156">
        <v>0.1225</v>
      </c>
      <c r="C26">
        <f>A26-A27</f>
        <v>31</v>
      </c>
      <c r="D26" s="161">
        <f>(B26*C26)</f>
        <v>3.7974999999999999</v>
      </c>
    </row>
    <row r="27" spans="1:4">
      <c r="A27" s="155">
        <v>44682</v>
      </c>
      <c r="B27" s="288">
        <v>0.1075</v>
      </c>
      <c r="C27">
        <f>A27-A28</f>
        <v>120</v>
      </c>
      <c r="D27" s="161">
        <f>(B27*C27)</f>
        <v>12.9</v>
      </c>
    </row>
    <row r="28" spans="1:4">
      <c r="A28" s="155">
        <v>44562</v>
      </c>
      <c r="B28" s="288">
        <v>8.2500000000000004E-2</v>
      </c>
      <c r="D28" s="161"/>
    </row>
    <row r="29" spans="1:4">
      <c r="A29" s="165"/>
      <c r="B29" s="166"/>
      <c r="C29" s="166">
        <f>SUM(C23:C28)</f>
        <v>365</v>
      </c>
      <c r="D29" s="168">
        <f>SUM(D23:D28)/C29</f>
        <v>0.12908904109589042</v>
      </c>
    </row>
    <row r="31" spans="1:4">
      <c r="A31" s="33" t="s">
        <v>399</v>
      </c>
      <c r="B31" s="33" t="s">
        <v>400</v>
      </c>
      <c r="C31" s="33" t="s">
        <v>401</v>
      </c>
      <c r="D31" s="167" t="s">
        <v>402</v>
      </c>
    </row>
    <row r="32" spans="1:4">
      <c r="A32" s="157">
        <v>44561</v>
      </c>
      <c r="B32" s="288">
        <v>8.2500000000000004E-2</v>
      </c>
      <c r="C32" s="159">
        <f>A32-A33+1</f>
        <v>31</v>
      </c>
      <c r="D32" s="161">
        <f>(B32*C32)</f>
        <v>2.5575000000000001</v>
      </c>
    </row>
    <row r="33" spans="1:4">
      <c r="A33" s="160">
        <v>44531</v>
      </c>
      <c r="B33" s="288">
        <v>7.2499999999999995E-2</v>
      </c>
      <c r="C33">
        <f>A33-A34</f>
        <v>61</v>
      </c>
      <c r="D33" s="161">
        <f>(B33*C33)</f>
        <v>4.4224999999999994</v>
      </c>
    </row>
    <row r="34" spans="1:4">
      <c r="A34" s="160">
        <v>44470</v>
      </c>
      <c r="B34" s="288">
        <v>5.7500000000000002E-2</v>
      </c>
      <c r="C34">
        <f>A34-A35</f>
        <v>273</v>
      </c>
      <c r="D34" s="161">
        <f>(B34*C34)</f>
        <v>15.697500000000002</v>
      </c>
    </row>
    <row r="35" spans="1:4">
      <c r="A35" s="160">
        <v>44197</v>
      </c>
      <c r="B35" s="288">
        <v>5.5E-2</v>
      </c>
      <c r="D35" s="161">
        <f>(B35*C35)</f>
        <v>0</v>
      </c>
    </row>
    <row r="36" spans="1:4">
      <c r="A36" s="165"/>
      <c r="B36" s="166"/>
      <c r="C36" s="166">
        <f>SUM(C32:C35)</f>
        <v>365</v>
      </c>
      <c r="D36" s="168">
        <f>SUM(D32:D35)/C36</f>
        <v>6.2130136986301376E-2</v>
      </c>
    </row>
    <row r="38" spans="1:4">
      <c r="A38" s="33" t="s">
        <v>399</v>
      </c>
      <c r="B38" s="33" t="s">
        <v>400</v>
      </c>
      <c r="C38" s="33" t="s">
        <v>401</v>
      </c>
      <c r="D38" s="167" t="s">
        <v>402</v>
      </c>
    </row>
    <row r="39" spans="1:4">
      <c r="A39" s="157">
        <v>44196</v>
      </c>
      <c r="B39" s="288">
        <v>5.5E-2</v>
      </c>
      <c r="C39" s="159">
        <f>A39-A40+1</f>
        <v>184</v>
      </c>
      <c r="D39" s="161">
        <f>(B39*C39)</f>
        <v>10.119999999999999</v>
      </c>
    </row>
    <row r="40" spans="1:4">
      <c r="A40" s="160">
        <v>44013</v>
      </c>
      <c r="B40" s="288">
        <v>5.5E-2</v>
      </c>
      <c r="C40">
        <f>A40-A41</f>
        <v>30</v>
      </c>
      <c r="D40" s="161">
        <f>(B40*C40)</f>
        <v>1.65</v>
      </c>
    </row>
    <row r="41" spans="1:4">
      <c r="A41" s="160">
        <v>43983</v>
      </c>
      <c r="B41" s="288">
        <v>6.5000000000000002E-2</v>
      </c>
      <c r="C41">
        <f>A41-A42</f>
        <v>31</v>
      </c>
      <c r="D41" s="161">
        <f>(B41*C41)</f>
        <v>2.0150000000000001</v>
      </c>
    </row>
    <row r="42" spans="1:4">
      <c r="A42" s="160">
        <v>43952</v>
      </c>
      <c r="B42" s="288">
        <v>7.4999999999999997E-2</v>
      </c>
      <c r="C42">
        <f>A42-A43</f>
        <v>30</v>
      </c>
      <c r="D42" s="161">
        <f>(B42*C42)</f>
        <v>2.25</v>
      </c>
    </row>
    <row r="43" spans="1:4">
      <c r="A43" s="160">
        <v>43922</v>
      </c>
      <c r="B43" s="288">
        <v>0.11</v>
      </c>
      <c r="C43">
        <f>A43-A44</f>
        <v>91</v>
      </c>
      <c r="D43" s="161">
        <f>(B43*C43)</f>
        <v>10.01</v>
      </c>
    </row>
    <row r="44" spans="1:4">
      <c r="A44" s="162">
        <v>43831</v>
      </c>
      <c r="B44" s="289">
        <v>0.11749999999999999</v>
      </c>
      <c r="C44" s="45"/>
      <c r="D44" s="164"/>
    </row>
    <row r="45" spans="1:4">
      <c r="A45" s="165"/>
      <c r="B45" s="166"/>
      <c r="C45" s="166">
        <f>SUM(C39:C44)</f>
        <v>366</v>
      </c>
      <c r="D45" s="168">
        <f>SUM(D39:D44)/C45</f>
        <v>7.116120218579236E-2</v>
      </c>
    </row>
    <row r="47" spans="1:4">
      <c r="A47" s="33" t="s">
        <v>399</v>
      </c>
      <c r="B47" s="33" t="s">
        <v>400</v>
      </c>
      <c r="C47" s="33" t="s">
        <v>401</v>
      </c>
      <c r="D47" s="167" t="s">
        <v>402</v>
      </c>
    </row>
    <row r="48" spans="1:4">
      <c r="A48" s="157">
        <v>43830</v>
      </c>
      <c r="B48" s="288">
        <v>0.11749999999999999</v>
      </c>
      <c r="C48" s="159">
        <f>A48-A49+1</f>
        <v>153</v>
      </c>
      <c r="D48" s="161">
        <f>(B48*C48)</f>
        <v>17.977499999999999</v>
      </c>
    </row>
    <row r="49" spans="1:4">
      <c r="A49" s="160">
        <v>43678</v>
      </c>
      <c r="B49" s="288">
        <v>0.11749999999999999</v>
      </c>
      <c r="C49">
        <f>A49-A50</f>
        <v>61</v>
      </c>
      <c r="D49" s="161">
        <f>(B49*C49)</f>
        <v>7.1674999999999995</v>
      </c>
    </row>
    <row r="50" spans="1:4">
      <c r="A50" s="160">
        <v>43617</v>
      </c>
      <c r="B50" s="288">
        <v>0.1075</v>
      </c>
      <c r="C50">
        <f>A50-A51</f>
        <v>31</v>
      </c>
      <c r="D50" s="161">
        <f>(B50*C50)</f>
        <v>3.3325</v>
      </c>
    </row>
    <row r="51" spans="1:4">
      <c r="A51" s="160">
        <v>43586</v>
      </c>
      <c r="B51" s="288">
        <v>9.2499999999999999E-2</v>
      </c>
      <c r="C51">
        <f>A51-A52</f>
        <v>89</v>
      </c>
      <c r="D51" s="161">
        <f>(B51*C51)</f>
        <v>8.2324999999999999</v>
      </c>
    </row>
    <row r="52" spans="1:4">
      <c r="A52" s="160">
        <v>43497</v>
      </c>
      <c r="B52" s="288">
        <v>8.7499999999999994E-2</v>
      </c>
      <c r="C52">
        <f>A52-A53</f>
        <v>31</v>
      </c>
      <c r="D52" s="161">
        <f>(B52*C52)</f>
        <v>2.7124999999999999</v>
      </c>
    </row>
    <row r="53" spans="1:4">
      <c r="A53" s="162">
        <v>43466</v>
      </c>
      <c r="B53" s="289">
        <v>8.2500000000000004E-2</v>
      </c>
      <c r="C53" s="45"/>
      <c r="D53" s="164"/>
    </row>
    <row r="54" spans="1:4">
      <c r="A54" s="165"/>
      <c r="B54" s="166"/>
      <c r="C54" s="166">
        <f>SUM(C48:C53)</f>
        <v>365</v>
      </c>
      <c r="D54" s="168">
        <f>SUM(D48:D53)/C54</f>
        <v>0.10800684931506849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1A89-C83F-4933-A80A-9F9731D5F5BD}">
  <dimension ref="A1:I732"/>
  <sheetViews>
    <sheetView zoomScale="85" zoomScaleNormal="85" zoomScaleSheetLayoutView="85" workbookViewId="0">
      <pane ySplit="9" topLeftCell="A707" activePane="bottomLeft" state="frozen"/>
      <selection pane="bottomLeft" activeCell="E707" sqref="E707:G707"/>
    </sheetView>
  </sheetViews>
  <sheetFormatPr defaultColWidth="9.140625" defaultRowHeight="14.45"/>
  <cols>
    <col min="1" max="1" width="8.5703125" customWidth="1"/>
    <col min="2" max="2" width="14.28515625" customWidth="1"/>
    <col min="3" max="7" width="17.7109375" customWidth="1"/>
  </cols>
  <sheetData>
    <row r="1" spans="1:7" ht="18">
      <c r="A1" s="339" t="s">
        <v>450</v>
      </c>
      <c r="B1" s="339" t="s">
        <v>450</v>
      </c>
      <c r="C1" s="339" t="s">
        <v>450</v>
      </c>
      <c r="D1" s="339"/>
      <c r="E1" s="339" t="s">
        <v>450</v>
      </c>
      <c r="F1" s="339" t="s">
        <v>450</v>
      </c>
      <c r="G1" s="339" t="s">
        <v>450</v>
      </c>
    </row>
    <row r="2" spans="1:7" ht="18">
      <c r="A2" s="339" t="s">
        <v>451</v>
      </c>
      <c r="B2" s="339"/>
      <c r="C2" s="339"/>
      <c r="D2" s="339"/>
      <c r="E2" s="339"/>
      <c r="F2" s="339"/>
      <c r="G2" s="339"/>
    </row>
    <row r="3" spans="1:7" ht="18">
      <c r="A3" s="339" t="s">
        <v>450</v>
      </c>
      <c r="B3" s="339"/>
      <c r="C3" s="339"/>
      <c r="D3" s="339"/>
      <c r="E3" s="339"/>
      <c r="F3" s="339"/>
      <c r="G3" s="339"/>
    </row>
    <row r="4" spans="1:7" ht="15.6">
      <c r="A4" s="333"/>
      <c r="B4" s="333"/>
      <c r="C4" s="333"/>
      <c r="D4" s="333"/>
      <c r="E4" s="333"/>
      <c r="F4" s="333"/>
      <c r="G4" s="333"/>
    </row>
    <row r="5" spans="1:7" ht="15.6">
      <c r="A5" s="333" t="s">
        <v>452</v>
      </c>
      <c r="B5" s="333"/>
      <c r="C5" s="333"/>
      <c r="D5" s="333"/>
      <c r="E5" s="333"/>
      <c r="F5" s="333"/>
      <c r="G5" s="333"/>
    </row>
    <row r="6" spans="1:7" ht="15.6">
      <c r="A6" s="333" t="s">
        <v>453</v>
      </c>
      <c r="B6" s="333"/>
      <c r="C6" s="333"/>
      <c r="D6" s="333"/>
      <c r="E6" s="333"/>
      <c r="F6" s="333"/>
      <c r="G6" s="333"/>
    </row>
    <row r="7" spans="1:7">
      <c r="F7" s="334" t="s">
        <v>454</v>
      </c>
      <c r="G7" s="334"/>
    </row>
    <row r="8" spans="1:7" ht="15.75" customHeight="1">
      <c r="A8" s="335" t="s">
        <v>455</v>
      </c>
      <c r="B8" s="337" t="s">
        <v>456</v>
      </c>
      <c r="C8" s="335" t="s">
        <v>457</v>
      </c>
      <c r="D8" s="192" t="s">
        <v>458</v>
      </c>
      <c r="E8" s="192"/>
      <c r="F8" s="192"/>
      <c r="G8" s="192"/>
    </row>
    <row r="9" spans="1:7">
      <c r="A9" s="336"/>
      <c r="B9" s="338"/>
      <c r="C9" s="336"/>
      <c r="D9" s="186" t="s">
        <v>459</v>
      </c>
      <c r="E9" s="186" t="s">
        <v>460</v>
      </c>
      <c r="F9" s="186" t="s">
        <v>461</v>
      </c>
      <c r="G9" s="186" t="s">
        <v>462</v>
      </c>
    </row>
    <row r="10" spans="1:7" ht="16.149999999999999">
      <c r="A10" s="177" t="s">
        <v>463</v>
      </c>
      <c r="B10" s="178">
        <v>35970</v>
      </c>
      <c r="C10" s="179">
        <v>23623.24</v>
      </c>
      <c r="D10" s="179"/>
      <c r="E10" s="180" t="s">
        <v>464</v>
      </c>
      <c r="F10" s="181">
        <v>0.15703300000000001</v>
      </c>
      <c r="G10" s="181" t="s">
        <v>464</v>
      </c>
    </row>
    <row r="11" spans="1:7" ht="16.149999999999999">
      <c r="A11" s="177" t="s">
        <v>465</v>
      </c>
      <c r="B11" s="178">
        <v>35989</v>
      </c>
      <c r="C11" s="179">
        <v>7708.23</v>
      </c>
      <c r="D11" s="179"/>
      <c r="E11" s="181">
        <v>0.14615700000000001</v>
      </c>
      <c r="F11" s="181">
        <v>0.154142</v>
      </c>
      <c r="G11" s="181">
        <v>0.16</v>
      </c>
    </row>
    <row r="12" spans="1:7" ht="16.149999999999999">
      <c r="A12" s="177" t="s">
        <v>466</v>
      </c>
      <c r="B12" s="178">
        <v>35998</v>
      </c>
      <c r="C12" s="179">
        <v>2305.36</v>
      </c>
      <c r="D12" s="179"/>
      <c r="E12" s="180" t="s">
        <v>467</v>
      </c>
      <c r="F12" s="181">
        <v>0.15740199999999999</v>
      </c>
      <c r="G12" s="181" t="s">
        <v>467</v>
      </c>
    </row>
    <row r="13" spans="1:7" ht="16.149999999999999">
      <c r="A13" s="177" t="s">
        <v>468</v>
      </c>
      <c r="B13" s="178">
        <v>36011</v>
      </c>
      <c r="C13" s="179">
        <v>21261.33</v>
      </c>
      <c r="D13" s="179"/>
      <c r="E13" s="182">
        <v>0.13817399999999999</v>
      </c>
      <c r="F13" s="181">
        <v>0.15290500000000001</v>
      </c>
      <c r="G13" s="181">
        <v>0.159</v>
      </c>
    </row>
    <row r="14" spans="1:7" ht="16.149999999999999">
      <c r="A14" s="177" t="s">
        <v>469</v>
      </c>
      <c r="B14" s="178">
        <v>36024</v>
      </c>
      <c r="C14" s="179">
        <v>19628.07</v>
      </c>
      <c r="D14" s="179"/>
      <c r="E14" s="182">
        <v>0.13708300000000001</v>
      </c>
      <c r="F14" s="181">
        <v>0.14943400000000001</v>
      </c>
      <c r="G14" s="181">
        <v>0.157803</v>
      </c>
    </row>
    <row r="15" spans="1:7" ht="16.149999999999999">
      <c r="A15" s="177" t="s">
        <v>470</v>
      </c>
      <c r="B15" s="178">
        <v>36041</v>
      </c>
      <c r="C15" s="179">
        <v>20526.84</v>
      </c>
      <c r="D15" s="179"/>
      <c r="E15" s="180" t="s">
        <v>467</v>
      </c>
      <c r="F15" s="181">
        <v>0.138548</v>
      </c>
      <c r="G15" s="181">
        <v>0.15392400000000001</v>
      </c>
    </row>
    <row r="16" spans="1:7" ht="16.149999999999999">
      <c r="A16" s="177" t="s">
        <v>471</v>
      </c>
      <c r="B16" s="178">
        <v>36066</v>
      </c>
      <c r="C16" s="179">
        <v>9255.2000000000007</v>
      </c>
      <c r="D16" s="179"/>
      <c r="E16" s="180" t="s">
        <v>467</v>
      </c>
      <c r="F16" s="181">
        <v>0.135467</v>
      </c>
      <c r="G16" s="181">
        <v>0.151701</v>
      </c>
    </row>
    <row r="17" spans="1:7" ht="16.149999999999999">
      <c r="A17" s="177" t="s">
        <v>472</v>
      </c>
      <c r="B17" s="178">
        <v>36080</v>
      </c>
      <c r="C17" s="179">
        <v>1910.04</v>
      </c>
      <c r="D17" s="179"/>
      <c r="E17" s="180" t="s">
        <v>467</v>
      </c>
      <c r="F17" s="181" t="s">
        <v>467</v>
      </c>
      <c r="G17" s="181">
        <v>0.151808</v>
      </c>
    </row>
    <row r="18" spans="1:7" ht="16.149999999999999">
      <c r="A18" s="177" t="s">
        <v>473</v>
      </c>
      <c r="B18" s="178">
        <v>36090</v>
      </c>
      <c r="C18" s="180" t="s">
        <v>467</v>
      </c>
      <c r="D18" s="180"/>
      <c r="E18" s="180" t="s">
        <v>467</v>
      </c>
      <c r="F18" s="181" t="s">
        <v>467</v>
      </c>
      <c r="G18" s="181" t="s">
        <v>467</v>
      </c>
    </row>
    <row r="19" spans="1:7" ht="16.149999999999999">
      <c r="A19" s="177" t="s">
        <v>474</v>
      </c>
      <c r="B19" s="178">
        <v>36102</v>
      </c>
      <c r="C19" s="179">
        <v>23149.34</v>
      </c>
      <c r="D19" s="179"/>
      <c r="E19" s="180" t="s">
        <v>467</v>
      </c>
      <c r="F19" s="181" t="s">
        <v>467</v>
      </c>
      <c r="G19" s="181">
        <v>0.14128499999999999</v>
      </c>
    </row>
    <row r="20" spans="1:7" ht="16.149999999999999">
      <c r="A20" s="177" t="s">
        <v>475</v>
      </c>
      <c r="B20" s="178">
        <v>36115</v>
      </c>
      <c r="C20" s="179">
        <v>6981.53</v>
      </c>
      <c r="D20" s="179"/>
      <c r="E20" s="181">
        <v>9.5002000000000003E-2</v>
      </c>
      <c r="F20" s="181">
        <v>0.11960899999999999</v>
      </c>
      <c r="G20" s="181">
        <v>0.129944</v>
      </c>
    </row>
    <row r="21" spans="1:7" ht="16.149999999999999">
      <c r="A21" s="177" t="s">
        <v>476</v>
      </c>
      <c r="B21" s="178">
        <v>36132</v>
      </c>
      <c r="C21" s="179">
        <v>5998.96</v>
      </c>
      <c r="D21" s="179"/>
      <c r="E21" s="180" t="s">
        <v>467</v>
      </c>
      <c r="F21" s="181">
        <v>0.119342</v>
      </c>
      <c r="G21" s="181">
        <v>0.129944</v>
      </c>
    </row>
    <row r="22" spans="1:7" ht="16.149999999999999">
      <c r="A22" s="177" t="s">
        <v>477</v>
      </c>
      <c r="B22" s="178">
        <v>36151</v>
      </c>
      <c r="C22" s="179">
        <v>2207.54</v>
      </c>
      <c r="D22" s="179"/>
      <c r="E22" s="180" t="s">
        <v>467</v>
      </c>
      <c r="F22" s="181">
        <v>0.118724</v>
      </c>
      <c r="G22" s="181">
        <v>0.12980900000000001</v>
      </c>
    </row>
    <row r="23" spans="1:7" ht="16.149999999999999">
      <c r="A23" s="177" t="s">
        <v>478</v>
      </c>
      <c r="B23" s="178">
        <v>36169</v>
      </c>
      <c r="C23" s="179">
        <v>5310.86</v>
      </c>
      <c r="D23" s="179"/>
      <c r="E23" s="180" t="s">
        <v>467</v>
      </c>
      <c r="F23" s="181">
        <v>0.12101099999999999</v>
      </c>
      <c r="G23" s="181">
        <v>0.12975500000000001</v>
      </c>
    </row>
    <row r="24" spans="1:7" ht="16.149999999999999">
      <c r="A24" s="177" t="s">
        <v>479</v>
      </c>
      <c r="B24" s="178">
        <v>36180</v>
      </c>
      <c r="C24" s="179">
        <v>8364.98</v>
      </c>
      <c r="D24" s="179"/>
      <c r="E24" s="181">
        <v>0.121124</v>
      </c>
      <c r="F24" s="181">
        <v>0.124582</v>
      </c>
      <c r="G24" s="181">
        <v>0.131684</v>
      </c>
    </row>
    <row r="25" spans="1:7" ht="16.149999999999999">
      <c r="A25" s="177" t="s">
        <v>480</v>
      </c>
      <c r="B25" s="178">
        <v>36192</v>
      </c>
      <c r="C25" s="179">
        <v>20217.27</v>
      </c>
      <c r="D25" s="179"/>
      <c r="E25" s="181">
        <v>0.124334</v>
      </c>
      <c r="F25" s="181">
        <v>0.128696</v>
      </c>
      <c r="G25" s="181">
        <v>0.13539999999999999</v>
      </c>
    </row>
    <row r="26" spans="1:7" ht="16.149999999999999">
      <c r="A26" s="177" t="s">
        <v>481</v>
      </c>
      <c r="B26" s="178">
        <v>36204</v>
      </c>
      <c r="C26" s="179">
        <v>15086.1</v>
      </c>
      <c r="D26" s="179"/>
      <c r="E26" s="181">
        <v>0.127141</v>
      </c>
      <c r="F26" s="181">
        <v>0.132991</v>
      </c>
      <c r="G26" s="181">
        <v>0.13811699999999999</v>
      </c>
    </row>
    <row r="27" spans="1:7" ht="16.149999999999999">
      <c r="A27" s="177" t="s">
        <v>482</v>
      </c>
      <c r="B27" s="178">
        <v>36222</v>
      </c>
      <c r="C27" s="179">
        <v>10978.54</v>
      </c>
      <c r="D27" s="179"/>
      <c r="E27" s="181">
        <v>0.123706</v>
      </c>
      <c r="F27" s="181">
        <v>0.129581</v>
      </c>
      <c r="G27" s="181" t="s">
        <v>467</v>
      </c>
    </row>
    <row r="28" spans="1:7" ht="16.149999999999999">
      <c r="A28" s="177" t="s">
        <v>483</v>
      </c>
      <c r="B28" s="178">
        <v>36244</v>
      </c>
      <c r="C28" s="179">
        <v>3860.06</v>
      </c>
      <c r="D28" s="179"/>
      <c r="E28" s="181">
        <v>0.10732999999999999</v>
      </c>
      <c r="F28" s="181">
        <v>0.113501</v>
      </c>
      <c r="G28" s="181">
        <v>0.118043</v>
      </c>
    </row>
    <row r="29" spans="1:7" ht="16.149999999999999">
      <c r="A29" s="177" t="s">
        <v>484</v>
      </c>
      <c r="B29" s="178">
        <v>36271</v>
      </c>
      <c r="C29" s="183">
        <v>211.15</v>
      </c>
      <c r="D29" s="183"/>
      <c r="E29" s="181" t="s">
        <v>467</v>
      </c>
      <c r="F29" s="181">
        <v>0.105987</v>
      </c>
      <c r="G29" s="181">
        <v>0.114951</v>
      </c>
    </row>
    <row r="30" spans="1:7" ht="16.149999999999999">
      <c r="A30" s="177" t="s">
        <v>485</v>
      </c>
      <c r="B30" s="178">
        <v>36292</v>
      </c>
      <c r="C30" s="180" t="s">
        <v>467</v>
      </c>
      <c r="D30" s="180"/>
      <c r="E30" s="181" t="s">
        <v>467</v>
      </c>
      <c r="F30" s="181" t="s">
        <v>467</v>
      </c>
      <c r="G30" s="181" t="s">
        <v>467</v>
      </c>
    </row>
    <row r="31" spans="1:7" ht="16.149999999999999">
      <c r="A31" s="177" t="s">
        <v>486</v>
      </c>
      <c r="B31" s="178">
        <v>36306</v>
      </c>
      <c r="C31" s="179">
        <v>2449.4499999999998</v>
      </c>
      <c r="D31" s="179"/>
      <c r="E31" s="181">
        <v>8.3704000000000001E-2</v>
      </c>
      <c r="F31" s="181" t="s">
        <v>467</v>
      </c>
      <c r="G31" s="181" t="s">
        <v>467</v>
      </c>
    </row>
    <row r="32" spans="1:7" ht="16.149999999999999">
      <c r="A32" s="177" t="s">
        <v>487</v>
      </c>
      <c r="B32" s="178">
        <v>36320</v>
      </c>
      <c r="C32" s="179">
        <v>10210.51</v>
      </c>
      <c r="D32" s="179"/>
      <c r="E32" s="181">
        <v>7.5266E-2</v>
      </c>
      <c r="F32" s="181" t="s">
        <v>467</v>
      </c>
      <c r="G32" s="181" t="s">
        <v>467</v>
      </c>
    </row>
    <row r="33" spans="1:7" ht="16.149999999999999">
      <c r="A33" s="177" t="s">
        <v>488</v>
      </c>
      <c r="B33" s="178">
        <v>36334</v>
      </c>
      <c r="C33" s="179">
        <v>12580.09</v>
      </c>
      <c r="D33" s="179"/>
      <c r="E33" s="181">
        <v>6.6599000000000005E-2</v>
      </c>
      <c r="F33" s="181" t="s">
        <v>467</v>
      </c>
      <c r="G33" s="181">
        <v>0.100979</v>
      </c>
    </row>
    <row r="34" spans="1:7" ht="16.149999999999999">
      <c r="A34" s="177" t="s">
        <v>489</v>
      </c>
      <c r="B34" s="178">
        <v>36348</v>
      </c>
      <c r="C34" s="179">
        <v>2063.7800000000002</v>
      </c>
      <c r="D34" s="179"/>
      <c r="E34" s="181" t="s">
        <v>467</v>
      </c>
      <c r="F34" s="181" t="s">
        <v>467</v>
      </c>
      <c r="G34" s="181">
        <v>0.103307</v>
      </c>
    </row>
    <row r="35" spans="1:7" ht="16.149999999999999">
      <c r="A35" s="177" t="s">
        <v>490</v>
      </c>
      <c r="B35" s="178">
        <v>36362</v>
      </c>
      <c r="C35" s="179">
        <v>6403.1</v>
      </c>
      <c r="D35" s="179"/>
      <c r="E35" s="181">
        <v>6.9626999999999994E-2</v>
      </c>
      <c r="F35" s="181" t="s">
        <v>467</v>
      </c>
      <c r="G35" s="181">
        <v>0.10290100000000001</v>
      </c>
    </row>
    <row r="36" spans="1:7" ht="16.149999999999999">
      <c r="A36" s="177" t="s">
        <v>491</v>
      </c>
      <c r="B36" s="178">
        <v>36383</v>
      </c>
      <c r="C36" s="179">
        <v>15569.91</v>
      </c>
      <c r="D36" s="179"/>
      <c r="E36" s="181">
        <v>6.9443000000000005E-2</v>
      </c>
      <c r="F36" s="181" t="s">
        <v>467</v>
      </c>
      <c r="G36" s="181">
        <v>0.101841</v>
      </c>
    </row>
    <row r="37" spans="1:7" ht="16.149999999999999">
      <c r="A37" s="177" t="s">
        <v>492</v>
      </c>
      <c r="B37" s="178">
        <v>36397</v>
      </c>
      <c r="C37" s="179">
        <v>9919.75</v>
      </c>
      <c r="D37" s="179"/>
      <c r="E37" s="181">
        <v>7.8592999999999996E-2</v>
      </c>
      <c r="F37" s="181">
        <v>9.4285999999999995E-2</v>
      </c>
      <c r="G37" s="181">
        <v>0.101996</v>
      </c>
    </row>
    <row r="38" spans="1:7" ht="16.149999999999999">
      <c r="A38" s="177" t="s">
        <v>493</v>
      </c>
      <c r="B38" s="178">
        <v>36411</v>
      </c>
      <c r="C38" s="179">
        <v>17856.240000000002</v>
      </c>
      <c r="D38" s="179"/>
      <c r="E38" s="181">
        <v>8.7984999999999994E-2</v>
      </c>
      <c r="F38" s="181">
        <v>0.100537</v>
      </c>
      <c r="G38" s="181">
        <v>0.10323400000000001</v>
      </c>
    </row>
    <row r="39" spans="1:7" ht="16.149999999999999">
      <c r="A39" s="177" t="s">
        <v>494</v>
      </c>
      <c r="B39" s="178">
        <v>36425</v>
      </c>
      <c r="C39" s="179">
        <v>5428.64</v>
      </c>
      <c r="D39" s="179"/>
      <c r="E39" s="181">
        <v>8.9582999999999996E-2</v>
      </c>
      <c r="F39" s="181">
        <v>0.102488</v>
      </c>
      <c r="G39" s="181">
        <v>0.10731300000000001</v>
      </c>
    </row>
    <row r="40" spans="1:7" ht="16.149999999999999">
      <c r="A40" s="177" t="s">
        <v>495</v>
      </c>
      <c r="B40" s="178">
        <v>36439</v>
      </c>
      <c r="C40" s="179">
        <v>2187.0700000000002</v>
      </c>
      <c r="D40" s="179"/>
      <c r="E40" s="181" t="s">
        <v>467</v>
      </c>
      <c r="F40" s="181">
        <v>0.10355399999999999</v>
      </c>
      <c r="G40" s="181" t="s">
        <v>467</v>
      </c>
    </row>
    <row r="41" spans="1:7" ht="16.149999999999999">
      <c r="A41" s="177" t="s">
        <v>496</v>
      </c>
      <c r="B41" s="178">
        <v>36453</v>
      </c>
      <c r="C41" s="180" t="s">
        <v>467</v>
      </c>
      <c r="D41" s="180"/>
      <c r="E41" s="181" t="s">
        <v>467</v>
      </c>
      <c r="F41" s="181" t="s">
        <v>467</v>
      </c>
      <c r="G41" s="181" t="s">
        <v>467</v>
      </c>
    </row>
    <row r="42" spans="1:7" ht="16.149999999999999">
      <c r="A42" s="177" t="s">
        <v>497</v>
      </c>
      <c r="B42" s="178">
        <v>36467</v>
      </c>
      <c r="C42" s="179">
        <v>26708.09</v>
      </c>
      <c r="D42" s="179"/>
      <c r="E42" s="181">
        <v>8.7774000000000005E-2</v>
      </c>
      <c r="F42" s="181">
        <v>9.9433999999999995E-2</v>
      </c>
      <c r="G42" s="181">
        <v>0.106126</v>
      </c>
    </row>
    <row r="43" spans="1:7" ht="16.149999999999999">
      <c r="A43" s="177" t="s">
        <v>498</v>
      </c>
      <c r="B43" s="178">
        <v>36481</v>
      </c>
      <c r="C43" s="179">
        <v>5884.4</v>
      </c>
      <c r="D43" s="179"/>
      <c r="E43" s="181">
        <v>8.8225999999999999E-2</v>
      </c>
      <c r="F43" s="181">
        <v>0.101345</v>
      </c>
      <c r="G43" s="181">
        <v>0.108707</v>
      </c>
    </row>
    <row r="44" spans="1:7" ht="16.149999999999999">
      <c r="A44" s="177" t="s">
        <v>499</v>
      </c>
      <c r="B44" s="178">
        <v>36495</v>
      </c>
      <c r="C44" s="179">
        <v>1742.63</v>
      </c>
      <c r="D44" s="179"/>
      <c r="E44" s="181">
        <v>8.8678000000000007E-2</v>
      </c>
      <c r="F44" s="181">
        <v>0.10156</v>
      </c>
      <c r="G44" s="181">
        <v>0.107721</v>
      </c>
    </row>
    <row r="45" spans="1:7" ht="16.149999999999999">
      <c r="A45" s="177" t="s">
        <v>500</v>
      </c>
      <c r="B45" s="178">
        <v>36509</v>
      </c>
      <c r="C45" s="179">
        <v>1833.81</v>
      </c>
      <c r="D45" s="179"/>
      <c r="E45" s="181" t="s">
        <v>464</v>
      </c>
      <c r="F45" s="181">
        <v>0.10097200000000001</v>
      </c>
      <c r="G45" s="181">
        <v>0.103281</v>
      </c>
    </row>
    <row r="46" spans="1:7" ht="16.149999999999999">
      <c r="A46" s="177" t="s">
        <v>501</v>
      </c>
      <c r="B46" s="178">
        <v>36523</v>
      </c>
      <c r="C46" s="183">
        <v>201.77</v>
      </c>
      <c r="D46" s="183"/>
      <c r="E46" s="181" t="s">
        <v>464</v>
      </c>
      <c r="F46" s="181" t="s">
        <v>467</v>
      </c>
      <c r="G46" s="181">
        <v>0.103061</v>
      </c>
    </row>
    <row r="47" spans="1:7" ht="16.149999999999999">
      <c r="A47" s="177" t="s">
        <v>502</v>
      </c>
      <c r="B47" s="178">
        <v>36537</v>
      </c>
      <c r="C47" s="183">
        <v>95.94</v>
      </c>
      <c r="D47" s="183"/>
      <c r="E47" s="181" t="s">
        <v>467</v>
      </c>
      <c r="F47" s="181">
        <v>8.4869E-2</v>
      </c>
      <c r="G47" s="181" t="s">
        <v>467</v>
      </c>
    </row>
    <row r="48" spans="1:7" ht="16.149999999999999">
      <c r="A48" s="177" t="s">
        <v>503</v>
      </c>
      <c r="B48" s="178">
        <v>36551</v>
      </c>
      <c r="C48" s="179">
        <v>2719.69</v>
      </c>
      <c r="D48" s="179"/>
      <c r="E48" s="181">
        <v>8.0099000000000004E-2</v>
      </c>
      <c r="F48" s="181">
        <v>8.4282999999999997E-2</v>
      </c>
      <c r="G48" s="181">
        <v>8.9451000000000003E-2</v>
      </c>
    </row>
    <row r="49" spans="1:7" ht="16.149999999999999">
      <c r="A49" s="177" t="s">
        <v>504</v>
      </c>
      <c r="B49" s="178">
        <v>36565</v>
      </c>
      <c r="C49" s="179">
        <v>8746.7800000000007</v>
      </c>
      <c r="D49" s="179"/>
      <c r="E49" s="181">
        <v>7.5413999999999995E-2</v>
      </c>
      <c r="F49" s="181">
        <v>7.9600000000000004E-2</v>
      </c>
      <c r="G49" s="181">
        <v>8.4359000000000003E-2</v>
      </c>
    </row>
    <row r="50" spans="1:7" ht="16.149999999999999">
      <c r="A50" s="177" t="s">
        <v>505</v>
      </c>
      <c r="B50" s="178">
        <v>36579</v>
      </c>
      <c r="C50" s="179">
        <v>2642.95</v>
      </c>
      <c r="D50" s="179"/>
      <c r="E50" s="181">
        <v>7.2899000000000005E-2</v>
      </c>
      <c r="F50" s="181">
        <v>7.4462E-2</v>
      </c>
      <c r="G50" s="181">
        <v>7.8964999999999994E-2</v>
      </c>
    </row>
    <row r="51" spans="1:7" ht="16.149999999999999">
      <c r="A51" s="177" t="s">
        <v>506</v>
      </c>
      <c r="B51" s="178">
        <v>36593</v>
      </c>
      <c r="C51" s="183">
        <v>71.349999999999994</v>
      </c>
      <c r="D51" s="183"/>
      <c r="E51" s="181" t="s">
        <v>467</v>
      </c>
      <c r="F51" s="181" t="s">
        <v>467</v>
      </c>
      <c r="G51" s="181">
        <v>7.8923999999999994E-2</v>
      </c>
    </row>
    <row r="52" spans="1:7" ht="16.149999999999999">
      <c r="A52" s="177" t="s">
        <v>507</v>
      </c>
      <c r="B52" s="178">
        <v>36607</v>
      </c>
      <c r="C52" s="183">
        <v>870.03</v>
      </c>
      <c r="D52" s="183"/>
      <c r="E52" s="181">
        <v>7.2868000000000002E-2</v>
      </c>
      <c r="F52" s="181">
        <v>7.4440000000000006E-2</v>
      </c>
      <c r="G52" s="181">
        <v>7.8949000000000005E-2</v>
      </c>
    </row>
    <row r="53" spans="1:7" ht="16.149999999999999">
      <c r="A53" s="177" t="s">
        <v>508</v>
      </c>
      <c r="B53" s="178">
        <v>36621</v>
      </c>
      <c r="C53" s="179">
        <v>8318.59</v>
      </c>
      <c r="D53" s="179"/>
      <c r="E53" s="181">
        <v>7.1103E-2</v>
      </c>
      <c r="F53" s="181">
        <v>7.1960999999999997E-2</v>
      </c>
      <c r="G53" s="181">
        <v>7.6851000000000003E-2</v>
      </c>
    </row>
    <row r="54" spans="1:7" ht="16.149999999999999">
      <c r="A54" s="177" t="s">
        <v>509</v>
      </c>
      <c r="B54" s="178">
        <v>36635</v>
      </c>
      <c r="C54" s="179">
        <v>4674.8</v>
      </c>
      <c r="D54" s="179"/>
      <c r="E54" s="181">
        <v>6.9757E-2</v>
      </c>
      <c r="F54" s="181">
        <v>7.1262000000000006E-2</v>
      </c>
      <c r="G54" s="181">
        <v>7.5915999999999997E-2</v>
      </c>
    </row>
    <row r="55" spans="1:7" ht="16.149999999999999">
      <c r="A55" s="177" t="s">
        <v>510</v>
      </c>
      <c r="B55" s="178">
        <v>36649</v>
      </c>
      <c r="C55" s="179">
        <v>20762.14</v>
      </c>
      <c r="D55" s="179"/>
      <c r="E55" s="181">
        <v>6.9374000000000005E-2</v>
      </c>
      <c r="F55" s="181">
        <v>7.0925000000000002E-2</v>
      </c>
      <c r="G55" s="181">
        <v>7.5836000000000001E-2</v>
      </c>
    </row>
    <row r="56" spans="1:7" ht="16.149999999999999">
      <c r="A56" s="177" t="s">
        <v>511</v>
      </c>
      <c r="B56" s="178">
        <v>36663</v>
      </c>
      <c r="C56" s="179">
        <v>2263.23</v>
      </c>
      <c r="D56" s="179"/>
      <c r="E56" s="181">
        <v>6.9757E-2</v>
      </c>
      <c r="F56" s="181">
        <v>7.2024000000000005E-2</v>
      </c>
      <c r="G56" s="181">
        <v>7.6172000000000004E-2</v>
      </c>
    </row>
    <row r="57" spans="1:7" ht="16.149999999999999">
      <c r="A57" s="177" t="s">
        <v>512</v>
      </c>
      <c r="B57" s="178">
        <v>36677</v>
      </c>
      <c r="C57" s="179">
        <v>1198.6600000000001</v>
      </c>
      <c r="D57" s="179"/>
      <c r="E57" s="181">
        <v>6.9532999999999998E-2</v>
      </c>
      <c r="F57" s="181">
        <v>7.2178000000000006E-2</v>
      </c>
      <c r="G57" s="181">
        <v>7.6086000000000001E-2</v>
      </c>
    </row>
    <row r="58" spans="1:7" ht="16.149999999999999">
      <c r="A58" s="177" t="s">
        <v>513</v>
      </c>
      <c r="B58" s="178">
        <v>36691</v>
      </c>
      <c r="C58" s="183">
        <v>984.3</v>
      </c>
      <c r="D58" s="183"/>
      <c r="E58" s="181">
        <v>6.9307999999999995E-2</v>
      </c>
      <c r="F58" s="181" t="s">
        <v>467</v>
      </c>
      <c r="G58" s="181" t="s">
        <v>467</v>
      </c>
    </row>
    <row r="59" spans="1:7" ht="16.149999999999999">
      <c r="A59" s="177" t="s">
        <v>514</v>
      </c>
      <c r="B59" s="178">
        <v>36705</v>
      </c>
      <c r="C59" s="180" t="s">
        <v>467</v>
      </c>
      <c r="D59" s="180"/>
      <c r="E59" s="181" t="s">
        <v>467</v>
      </c>
      <c r="F59" s="181" t="s">
        <v>467</v>
      </c>
      <c r="G59" s="181" t="s">
        <v>467</v>
      </c>
    </row>
    <row r="60" spans="1:7" ht="16.149999999999999">
      <c r="A60" s="177" t="s">
        <v>515</v>
      </c>
      <c r="B60" s="178">
        <v>36719</v>
      </c>
      <c r="C60" s="179">
        <v>8750.2900000000009</v>
      </c>
      <c r="D60" s="179"/>
      <c r="E60" s="181">
        <v>6.8486000000000005E-2</v>
      </c>
      <c r="F60" s="181">
        <v>7.1375999999999995E-2</v>
      </c>
      <c r="G60" s="181" t="s">
        <v>467</v>
      </c>
    </row>
    <row r="61" spans="1:7" ht="16.149999999999999">
      <c r="A61" s="177" t="s">
        <v>516</v>
      </c>
      <c r="B61" s="178">
        <v>36733</v>
      </c>
      <c r="C61" s="179">
        <v>7780.42</v>
      </c>
      <c r="D61" s="179"/>
      <c r="E61" s="181">
        <v>7.0302000000000003E-2</v>
      </c>
      <c r="F61" s="181">
        <v>7.2339000000000001E-2</v>
      </c>
      <c r="G61" s="181">
        <v>7.7771000000000007E-2</v>
      </c>
    </row>
    <row r="62" spans="1:7" ht="16.149999999999999">
      <c r="A62" s="177" t="s">
        <v>517</v>
      </c>
      <c r="B62" s="178">
        <v>36747</v>
      </c>
      <c r="C62" s="183">
        <v>698.65</v>
      </c>
      <c r="D62" s="183"/>
      <c r="E62" s="181" t="s">
        <v>467</v>
      </c>
      <c r="F62" s="181">
        <v>7.3816000000000007E-2</v>
      </c>
      <c r="G62" s="181">
        <v>7.9594999999999999E-2</v>
      </c>
    </row>
    <row r="63" spans="1:7" ht="16.149999999999999">
      <c r="A63" s="177" t="s">
        <v>518</v>
      </c>
      <c r="B63" s="178">
        <v>36761</v>
      </c>
      <c r="C63" s="179">
        <v>1520.62</v>
      </c>
      <c r="D63" s="179"/>
      <c r="E63" s="181" t="s">
        <v>467</v>
      </c>
      <c r="F63" s="181">
        <v>7.3816000000000007E-2</v>
      </c>
      <c r="G63" s="181">
        <v>8.0121999999999999E-2</v>
      </c>
    </row>
    <row r="64" spans="1:7" ht="16.149999999999999">
      <c r="A64" s="177" t="s">
        <v>519</v>
      </c>
      <c r="B64" s="178">
        <v>36775</v>
      </c>
      <c r="C64" s="183">
        <v>255.08</v>
      </c>
      <c r="D64" s="183"/>
      <c r="E64" s="181" t="s">
        <v>467</v>
      </c>
      <c r="F64" s="181">
        <v>7.4462E-2</v>
      </c>
      <c r="G64" s="181">
        <v>8.1039E-2</v>
      </c>
    </row>
    <row r="65" spans="1:7" ht="16.149999999999999">
      <c r="A65" s="177" t="s">
        <v>520</v>
      </c>
      <c r="B65" s="178">
        <v>36789</v>
      </c>
      <c r="C65" s="179">
        <v>11834.92</v>
      </c>
      <c r="D65" s="179"/>
      <c r="E65" s="181">
        <v>7.9521999999999995E-2</v>
      </c>
      <c r="F65" s="181">
        <v>8.1396999999999997E-2</v>
      </c>
      <c r="G65" s="181">
        <v>8.9252999999999999E-2</v>
      </c>
    </row>
    <row r="66" spans="1:7" ht="16.149999999999999">
      <c r="A66" s="177" t="s">
        <v>521</v>
      </c>
      <c r="B66" s="178">
        <v>36803</v>
      </c>
      <c r="C66" s="179">
        <v>11036.69</v>
      </c>
      <c r="D66" s="179"/>
      <c r="E66" s="181">
        <v>0.102269</v>
      </c>
      <c r="F66" s="181">
        <v>0.104684</v>
      </c>
      <c r="G66" s="181">
        <v>0.109098</v>
      </c>
    </row>
    <row r="67" spans="1:7" ht="16.149999999999999">
      <c r="A67" s="177" t="s">
        <v>522</v>
      </c>
      <c r="B67" s="178">
        <v>36817</v>
      </c>
      <c r="C67" s="183">
        <v>189.6</v>
      </c>
      <c r="D67" s="183"/>
      <c r="E67" s="181" t="s">
        <v>467</v>
      </c>
      <c r="F67" s="181">
        <v>0.11000600000000001</v>
      </c>
      <c r="G67" s="181" t="s">
        <v>467</v>
      </c>
    </row>
    <row r="68" spans="1:7" ht="16.149999999999999">
      <c r="A68" s="177" t="s">
        <v>523</v>
      </c>
      <c r="B68" s="178">
        <v>36831</v>
      </c>
      <c r="C68" s="179">
        <v>12790.27</v>
      </c>
      <c r="D68" s="179"/>
      <c r="E68" s="181" t="s">
        <v>467</v>
      </c>
      <c r="F68" s="181">
        <v>0.10992300000000001</v>
      </c>
      <c r="G68" s="181">
        <v>0.114789</v>
      </c>
    </row>
    <row r="69" spans="1:7" ht="16.149999999999999">
      <c r="A69" s="177" t="s">
        <v>524</v>
      </c>
      <c r="B69" s="178">
        <v>36845</v>
      </c>
      <c r="C69" s="183">
        <v>426.69</v>
      </c>
      <c r="D69" s="183"/>
      <c r="E69" s="181" t="s">
        <v>467</v>
      </c>
      <c r="F69" s="181">
        <v>0.10956</v>
      </c>
      <c r="G69" s="181" t="s">
        <v>467</v>
      </c>
    </row>
    <row r="70" spans="1:7" ht="16.149999999999999">
      <c r="A70" s="177" t="s">
        <v>525</v>
      </c>
      <c r="B70" s="178">
        <v>36859</v>
      </c>
      <c r="C70" s="183">
        <v>993.03</v>
      </c>
      <c r="D70" s="183"/>
      <c r="E70" s="181" t="s">
        <v>464</v>
      </c>
      <c r="F70" s="181">
        <v>0.109225</v>
      </c>
      <c r="G70" s="181">
        <v>0.114893</v>
      </c>
    </row>
    <row r="71" spans="1:7" ht="16.149999999999999">
      <c r="A71" s="177" t="s">
        <v>526</v>
      </c>
      <c r="B71" s="178">
        <v>36873</v>
      </c>
      <c r="C71" s="183">
        <v>585.28</v>
      </c>
      <c r="D71" s="183"/>
      <c r="E71" s="181" t="s">
        <v>464</v>
      </c>
      <c r="F71" s="181">
        <v>0.10956</v>
      </c>
      <c r="G71" s="181">
        <v>0.114893</v>
      </c>
    </row>
    <row r="72" spans="1:7" ht="16.149999999999999">
      <c r="A72" s="177" t="s">
        <v>527</v>
      </c>
      <c r="B72" s="178">
        <v>36901</v>
      </c>
      <c r="C72" s="180" t="s">
        <v>467</v>
      </c>
      <c r="D72" s="180"/>
      <c r="E72" s="181" t="s">
        <v>467</v>
      </c>
      <c r="F72" s="181" t="s">
        <v>467</v>
      </c>
      <c r="G72" s="181" t="s">
        <v>464</v>
      </c>
    </row>
    <row r="73" spans="1:7" ht="16.149999999999999">
      <c r="A73" s="177" t="s">
        <v>528</v>
      </c>
      <c r="B73" s="178">
        <v>36915</v>
      </c>
      <c r="C73" s="179">
        <v>5217.1899999999996</v>
      </c>
      <c r="D73" s="179"/>
      <c r="E73" s="181">
        <v>0.10502599999999999</v>
      </c>
      <c r="F73" s="181">
        <v>0.10956</v>
      </c>
      <c r="G73" s="181" t="s">
        <v>467</v>
      </c>
    </row>
    <row r="74" spans="1:7" ht="16.149999999999999">
      <c r="A74" s="177" t="s">
        <v>529</v>
      </c>
      <c r="B74" s="178">
        <v>36929</v>
      </c>
      <c r="C74" s="179">
        <v>2861.88</v>
      </c>
      <c r="D74" s="179"/>
      <c r="E74" s="181">
        <v>0.10502599999999999</v>
      </c>
      <c r="F74" s="181">
        <v>0.10956</v>
      </c>
      <c r="G74" s="181">
        <v>0.114425</v>
      </c>
    </row>
    <row r="75" spans="1:7" ht="16.149999999999999">
      <c r="A75" s="177" t="s">
        <v>530</v>
      </c>
      <c r="B75" s="178">
        <v>36943</v>
      </c>
      <c r="C75" s="179">
        <v>2926.2</v>
      </c>
      <c r="D75" s="179"/>
      <c r="E75" s="181">
        <v>0.10958900000000001</v>
      </c>
      <c r="F75" s="181" t="s">
        <v>467</v>
      </c>
      <c r="G75" s="181" t="s">
        <v>464</v>
      </c>
    </row>
    <row r="76" spans="1:7" ht="16.149999999999999">
      <c r="A76" s="177" t="s">
        <v>531</v>
      </c>
      <c r="B76" s="178">
        <v>36957</v>
      </c>
      <c r="C76" s="179">
        <v>7510.58</v>
      </c>
      <c r="D76" s="179"/>
      <c r="E76" s="181">
        <v>0.10958900000000001</v>
      </c>
      <c r="F76" s="181" t="s">
        <v>467</v>
      </c>
      <c r="G76" s="181" t="s">
        <v>467</v>
      </c>
    </row>
    <row r="77" spans="1:7" ht="16.149999999999999">
      <c r="A77" s="177" t="s">
        <v>532</v>
      </c>
      <c r="B77" s="178">
        <v>36971</v>
      </c>
      <c r="C77" s="179">
        <v>13203.74</v>
      </c>
      <c r="D77" s="179"/>
      <c r="E77" s="181">
        <v>0.111592</v>
      </c>
      <c r="F77" s="181">
        <v>0.115513</v>
      </c>
      <c r="G77" s="181">
        <v>0.119522</v>
      </c>
    </row>
    <row r="78" spans="1:7" ht="16.149999999999999">
      <c r="A78" s="177" t="s">
        <v>533</v>
      </c>
      <c r="B78" s="178">
        <v>36984</v>
      </c>
      <c r="C78" s="179">
        <v>18511.96</v>
      </c>
      <c r="D78" s="179"/>
      <c r="E78" s="181">
        <v>0.110833</v>
      </c>
      <c r="F78" s="181">
        <v>0.115379</v>
      </c>
      <c r="G78" s="181">
        <v>0.11959</v>
      </c>
    </row>
    <row r="79" spans="1:7" ht="16.149999999999999">
      <c r="A79" s="177" t="s">
        <v>534</v>
      </c>
      <c r="B79" s="178">
        <v>36999</v>
      </c>
      <c r="C79" s="179">
        <v>4392.58</v>
      </c>
      <c r="D79" s="179"/>
      <c r="E79" s="181" t="s">
        <v>467</v>
      </c>
      <c r="F79" s="181">
        <v>0.11537500000000001</v>
      </c>
      <c r="G79" s="181">
        <v>0.119849</v>
      </c>
    </row>
    <row r="80" spans="1:7" ht="16.149999999999999">
      <c r="A80" s="177" t="s">
        <v>535</v>
      </c>
      <c r="B80" s="178">
        <v>37013</v>
      </c>
      <c r="C80" s="179">
        <v>19718.560000000001</v>
      </c>
      <c r="D80" s="179"/>
      <c r="E80" s="181">
        <v>0.111258</v>
      </c>
      <c r="F80" s="181">
        <v>0.115095</v>
      </c>
      <c r="G80" s="181">
        <v>0.119717</v>
      </c>
    </row>
    <row r="81" spans="1:7" ht="16.149999999999999">
      <c r="A81" s="177" t="s">
        <v>536</v>
      </c>
      <c r="B81" s="178">
        <v>37027</v>
      </c>
      <c r="C81" s="179">
        <v>4252.95</v>
      </c>
      <c r="D81" s="179"/>
      <c r="E81" s="181" t="s">
        <v>464</v>
      </c>
      <c r="F81" s="181">
        <v>0.11569400000000001</v>
      </c>
      <c r="G81" s="181">
        <v>0.119773</v>
      </c>
    </row>
    <row r="82" spans="1:7" ht="16.149999999999999">
      <c r="A82" s="177" t="s">
        <v>537</v>
      </c>
      <c r="B82" s="178">
        <v>37041</v>
      </c>
      <c r="C82" s="179">
        <v>20613.560000000001</v>
      </c>
      <c r="D82" s="179"/>
      <c r="E82" s="181">
        <v>0.111669</v>
      </c>
      <c r="F82" s="181">
        <v>0.115994</v>
      </c>
      <c r="G82" s="181">
        <v>0.119905</v>
      </c>
    </row>
    <row r="83" spans="1:7" ht="16.149999999999999">
      <c r="A83" s="177" t="s">
        <v>538</v>
      </c>
      <c r="B83" s="178">
        <v>37055</v>
      </c>
      <c r="C83" s="179">
        <v>10915.78</v>
      </c>
      <c r="D83" s="179"/>
      <c r="E83" s="181">
        <v>0.117856</v>
      </c>
      <c r="F83" s="181">
        <v>0.121749</v>
      </c>
      <c r="G83" s="181">
        <v>0.12526599999999999</v>
      </c>
    </row>
    <row r="84" spans="1:7" ht="16.149999999999999">
      <c r="A84" s="177" t="s">
        <v>539</v>
      </c>
      <c r="B84" s="178">
        <v>37069</v>
      </c>
      <c r="C84" s="179">
        <v>15491.42</v>
      </c>
      <c r="D84" s="179"/>
      <c r="E84" s="181">
        <v>0.122214</v>
      </c>
      <c r="F84" s="181">
        <v>0.12875600000000001</v>
      </c>
      <c r="G84" s="181">
        <v>0.129353</v>
      </c>
    </row>
    <row r="85" spans="1:7" ht="16.149999999999999">
      <c r="A85" s="177" t="s">
        <v>540</v>
      </c>
      <c r="B85" s="178">
        <v>37083</v>
      </c>
      <c r="C85" s="179">
        <v>6132.91</v>
      </c>
      <c r="D85" s="179"/>
      <c r="E85" s="181">
        <v>0.12149500000000001</v>
      </c>
      <c r="F85" s="181">
        <v>0.125551</v>
      </c>
      <c r="G85" s="181" t="s">
        <v>467</v>
      </c>
    </row>
    <row r="86" spans="1:7" ht="16.149999999999999">
      <c r="A86" s="177" t="s">
        <v>541</v>
      </c>
      <c r="B86" s="178">
        <v>37097</v>
      </c>
      <c r="C86" s="179">
        <v>11315.59</v>
      </c>
      <c r="D86" s="179"/>
      <c r="E86" s="181">
        <v>0.113329</v>
      </c>
      <c r="F86" s="181">
        <v>0.11579</v>
      </c>
      <c r="G86" s="181">
        <v>0.11984300000000001</v>
      </c>
    </row>
    <row r="87" spans="1:7" ht="16.149999999999999">
      <c r="A87" s="177" t="s">
        <v>542</v>
      </c>
      <c r="B87" s="178">
        <v>37111</v>
      </c>
      <c r="C87" s="179">
        <v>8415.58</v>
      </c>
      <c r="D87" s="179"/>
      <c r="E87" s="181">
        <v>0.111746</v>
      </c>
      <c r="F87" s="181">
        <v>0.11364</v>
      </c>
      <c r="G87" s="181">
        <v>0.11734</v>
      </c>
    </row>
    <row r="88" spans="1:7" ht="16.149999999999999">
      <c r="A88" s="177" t="s">
        <v>543</v>
      </c>
      <c r="B88" s="178">
        <v>37125</v>
      </c>
      <c r="C88" s="179">
        <v>16532.72</v>
      </c>
      <c r="D88" s="179"/>
      <c r="E88" s="181">
        <v>0.10038</v>
      </c>
      <c r="F88" s="181">
        <v>0.104667</v>
      </c>
      <c r="G88" s="181">
        <v>0.108221</v>
      </c>
    </row>
    <row r="89" spans="1:7" ht="16.149999999999999">
      <c r="A89" s="177" t="s">
        <v>544</v>
      </c>
      <c r="B89" s="178">
        <v>37139</v>
      </c>
      <c r="C89" s="179">
        <v>11430.17</v>
      </c>
      <c r="D89" s="179"/>
      <c r="E89" s="181">
        <v>0.102247</v>
      </c>
      <c r="F89" s="181">
        <v>0.10485999999999999</v>
      </c>
      <c r="G89" s="181">
        <v>0.108392</v>
      </c>
    </row>
    <row r="90" spans="1:7" ht="16.149999999999999">
      <c r="A90" s="177" t="s">
        <v>545</v>
      </c>
      <c r="B90" s="178">
        <v>37153</v>
      </c>
      <c r="C90" s="179">
        <v>1178.8399999999999</v>
      </c>
      <c r="D90" s="179"/>
      <c r="E90" s="181">
        <v>0.101838</v>
      </c>
      <c r="F90" s="181">
        <v>0.10496900000000001</v>
      </c>
      <c r="G90" s="181">
        <v>0.108699</v>
      </c>
    </row>
    <row r="91" spans="1:7" ht="16.149999999999999">
      <c r="A91" s="177" t="s">
        <v>546</v>
      </c>
      <c r="B91" s="178">
        <v>37167</v>
      </c>
      <c r="C91" s="179">
        <v>7737.85</v>
      </c>
      <c r="D91" s="179"/>
      <c r="E91" s="181">
        <v>0.100018</v>
      </c>
      <c r="F91" s="181">
        <v>0.103982</v>
      </c>
      <c r="G91" s="181">
        <v>0.10759199999999999</v>
      </c>
    </row>
    <row r="92" spans="1:7" ht="16.149999999999999">
      <c r="A92" s="177" t="s">
        <v>547</v>
      </c>
      <c r="B92" s="178">
        <v>37181</v>
      </c>
      <c r="C92" s="179">
        <v>3231.11</v>
      </c>
      <c r="D92" s="179"/>
      <c r="E92" s="181" t="s">
        <v>467</v>
      </c>
      <c r="F92" s="181">
        <v>0.10288899999999999</v>
      </c>
      <c r="G92" s="181">
        <v>0.10717599999999999</v>
      </c>
    </row>
    <row r="93" spans="1:7" ht="16.149999999999999">
      <c r="A93" s="177" t="s">
        <v>548</v>
      </c>
      <c r="B93" s="178">
        <v>37195</v>
      </c>
      <c r="C93" s="179">
        <v>9208.18</v>
      </c>
      <c r="D93" s="179"/>
      <c r="E93" s="181">
        <v>8.1752000000000005E-2</v>
      </c>
      <c r="F93" s="181">
        <v>8.5039000000000003E-2</v>
      </c>
      <c r="G93" s="181">
        <v>8.9970999999999995E-2</v>
      </c>
    </row>
    <row r="94" spans="1:7" ht="16.149999999999999">
      <c r="A94" s="177" t="s">
        <v>549</v>
      </c>
      <c r="B94" s="178">
        <v>37209</v>
      </c>
      <c r="C94" s="179">
        <v>7508.83</v>
      </c>
      <c r="D94" s="179"/>
      <c r="E94" s="181">
        <v>7.9647999999999997E-2</v>
      </c>
      <c r="F94" s="181">
        <v>8.3046999999999996E-2</v>
      </c>
      <c r="G94" s="181">
        <v>8.8985999999999996E-2</v>
      </c>
    </row>
    <row r="95" spans="1:7" ht="16.149999999999999">
      <c r="A95" s="177" t="s">
        <v>550</v>
      </c>
      <c r="B95" s="178">
        <v>37223</v>
      </c>
      <c r="C95" s="179">
        <v>9806.76</v>
      </c>
      <c r="D95" s="179"/>
      <c r="E95" s="181">
        <v>7.9647999999999997E-2</v>
      </c>
      <c r="F95" s="181">
        <v>8.2577999999999999E-2</v>
      </c>
      <c r="G95" s="181">
        <v>8.7404999999999997E-2</v>
      </c>
    </row>
    <row r="96" spans="1:7" ht="16.149999999999999">
      <c r="A96" s="177" t="s">
        <v>551</v>
      </c>
      <c r="B96" s="178">
        <v>37237</v>
      </c>
      <c r="C96" s="179">
        <v>2622.99</v>
      </c>
      <c r="D96" s="179"/>
      <c r="E96" s="181" t="s">
        <v>467</v>
      </c>
      <c r="F96" s="181">
        <v>8.1397999999999998E-2</v>
      </c>
      <c r="G96" s="181">
        <v>8.5420999999999997E-2</v>
      </c>
    </row>
    <row r="97" spans="1:7" ht="16.149999999999999">
      <c r="A97" s="177" t="s">
        <v>552</v>
      </c>
      <c r="B97" s="178">
        <v>37251</v>
      </c>
      <c r="C97" s="179">
        <v>9307.36</v>
      </c>
      <c r="D97" s="179"/>
      <c r="E97" s="181">
        <v>7.6495999999999995E-2</v>
      </c>
      <c r="F97" s="181">
        <v>7.9283999999999993E-2</v>
      </c>
      <c r="G97" s="181">
        <v>8.3995E-2</v>
      </c>
    </row>
    <row r="98" spans="1:7" ht="16.149999999999999">
      <c r="A98" s="177" t="s">
        <v>553</v>
      </c>
      <c r="B98" s="178">
        <v>37265</v>
      </c>
      <c r="C98" s="179">
        <v>8089.56</v>
      </c>
      <c r="D98" s="179"/>
      <c r="E98" s="181" t="s">
        <v>467</v>
      </c>
      <c r="F98" s="181">
        <v>7.7659000000000006E-2</v>
      </c>
      <c r="G98" s="181">
        <v>8.2044000000000006E-2</v>
      </c>
    </row>
    <row r="99" spans="1:7" ht="16.149999999999999">
      <c r="A99" s="177" t="s">
        <v>554</v>
      </c>
      <c r="B99" s="178">
        <v>37279</v>
      </c>
      <c r="C99" s="179">
        <v>11744.5</v>
      </c>
      <c r="D99" s="179"/>
      <c r="E99" s="181">
        <v>6.1330999999999997E-2</v>
      </c>
      <c r="F99" s="181">
        <v>6.3472000000000001E-2</v>
      </c>
      <c r="G99" s="181">
        <v>6.8176E-2</v>
      </c>
    </row>
    <row r="100" spans="1:7" ht="16.149999999999999">
      <c r="A100" s="177" t="s">
        <v>555</v>
      </c>
      <c r="B100" s="178">
        <v>37293</v>
      </c>
      <c r="C100" s="179">
        <v>24777.97</v>
      </c>
      <c r="D100" s="179"/>
      <c r="E100" s="181">
        <v>5.3620000000000001E-2</v>
      </c>
      <c r="F100" s="181">
        <v>5.645E-2</v>
      </c>
      <c r="G100" s="181">
        <v>6.3826999999999995E-2</v>
      </c>
    </row>
    <row r="101" spans="1:7" ht="16.149999999999999">
      <c r="A101" s="177" t="s">
        <v>556</v>
      </c>
      <c r="B101" s="178">
        <v>37307</v>
      </c>
      <c r="C101" s="179">
        <v>13093.08</v>
      </c>
      <c r="D101" s="179"/>
      <c r="E101" s="181" t="s">
        <v>467</v>
      </c>
      <c r="F101" s="181">
        <v>6.3862000000000002E-2</v>
      </c>
      <c r="G101" s="181">
        <v>6.9028999999999993E-2</v>
      </c>
    </row>
    <row r="102" spans="1:7" ht="16.149999999999999">
      <c r="A102" s="177" t="s">
        <v>557</v>
      </c>
      <c r="B102" s="178">
        <v>37321</v>
      </c>
      <c r="C102" s="179">
        <v>11392.48</v>
      </c>
      <c r="D102" s="179"/>
      <c r="E102" s="181">
        <v>5.8124000000000002E-2</v>
      </c>
      <c r="F102" s="181">
        <v>6.4657000000000006E-2</v>
      </c>
      <c r="G102" s="181">
        <v>7.0054000000000005E-2</v>
      </c>
    </row>
    <row r="103" spans="1:7" ht="16.149999999999999">
      <c r="A103" s="177" t="s">
        <v>558</v>
      </c>
      <c r="B103" s="178">
        <v>37335</v>
      </c>
      <c r="C103" s="179">
        <v>25575.82</v>
      </c>
      <c r="D103" s="179"/>
      <c r="E103" s="181">
        <v>5.7366E-2</v>
      </c>
      <c r="F103" s="181">
        <v>6.4435000000000006E-2</v>
      </c>
      <c r="G103" s="181">
        <v>6.9536000000000001E-2</v>
      </c>
    </row>
    <row r="104" spans="1:7" ht="16.149999999999999">
      <c r="A104" s="177" t="s">
        <v>559</v>
      </c>
      <c r="B104" s="178">
        <v>37349</v>
      </c>
      <c r="C104" s="179">
        <v>3693.8</v>
      </c>
      <c r="D104" s="179"/>
      <c r="E104" s="181" t="s">
        <v>467</v>
      </c>
      <c r="F104" s="181">
        <v>6.4799999999999996E-2</v>
      </c>
      <c r="G104" s="181">
        <v>7.0054000000000005E-2</v>
      </c>
    </row>
    <row r="105" spans="1:7" ht="16.149999999999999">
      <c r="A105" s="177" t="s">
        <v>560</v>
      </c>
      <c r="B105" s="178">
        <v>37363</v>
      </c>
      <c r="C105" s="179">
        <v>5882.04</v>
      </c>
      <c r="D105" s="179"/>
      <c r="E105" s="181" t="s">
        <v>467</v>
      </c>
      <c r="F105" s="181">
        <v>6.4488000000000004E-2</v>
      </c>
      <c r="G105" s="181">
        <v>6.9817000000000004E-2</v>
      </c>
    </row>
    <row r="106" spans="1:7" ht="16.149999999999999">
      <c r="A106" s="177" t="s">
        <v>561</v>
      </c>
      <c r="B106" s="178">
        <v>37378</v>
      </c>
      <c r="C106" s="179">
        <v>32973.06</v>
      </c>
      <c r="D106" s="179"/>
      <c r="E106" s="181">
        <v>5.7678E-2</v>
      </c>
      <c r="F106" s="181">
        <v>6.3840999999999995E-2</v>
      </c>
      <c r="G106" s="181">
        <v>6.9597999999999993E-2</v>
      </c>
    </row>
    <row r="107" spans="1:7" ht="16.149999999999999">
      <c r="A107" s="177" t="s">
        <v>562</v>
      </c>
      <c r="B107" s="178">
        <v>37391</v>
      </c>
      <c r="C107" s="179">
        <v>38733.14</v>
      </c>
      <c r="D107" s="179"/>
      <c r="E107" s="181" t="s">
        <v>467</v>
      </c>
      <c r="F107" s="181">
        <v>6.3865000000000005E-2</v>
      </c>
      <c r="G107" s="181">
        <v>6.9536000000000001E-2</v>
      </c>
    </row>
    <row r="108" spans="1:7" ht="16.149999999999999">
      <c r="A108" s="177" t="s">
        <v>563</v>
      </c>
      <c r="B108" s="178">
        <v>37405</v>
      </c>
      <c r="C108" s="179">
        <v>9142.5300000000007</v>
      </c>
      <c r="D108" s="179"/>
      <c r="E108" s="181">
        <v>5.7958999999999997E-2</v>
      </c>
      <c r="F108" s="181">
        <v>6.4319000000000001E-2</v>
      </c>
      <c r="G108" s="181">
        <v>6.9681000000000007E-2</v>
      </c>
    </row>
    <row r="109" spans="1:7" ht="16.149999999999999">
      <c r="A109" s="177" t="s">
        <v>564</v>
      </c>
      <c r="B109" s="178">
        <v>37419</v>
      </c>
      <c r="C109" s="179">
        <v>4105.12</v>
      </c>
      <c r="D109" s="179"/>
      <c r="E109" s="181" t="s">
        <v>464</v>
      </c>
      <c r="F109" s="181">
        <v>6.4175999999999997E-2</v>
      </c>
      <c r="G109" s="181">
        <v>6.9939000000000001E-2</v>
      </c>
    </row>
    <row r="110" spans="1:7" ht="16.149999999999999">
      <c r="A110" s="177" t="s">
        <v>565</v>
      </c>
      <c r="B110" s="178">
        <v>37433</v>
      </c>
      <c r="C110" s="179">
        <v>10520.51</v>
      </c>
      <c r="D110" s="179"/>
      <c r="E110" s="181" t="s">
        <v>464</v>
      </c>
      <c r="F110" s="181">
        <v>6.2810000000000005E-2</v>
      </c>
      <c r="G110" s="181" t="s">
        <v>467</v>
      </c>
    </row>
    <row r="111" spans="1:7" ht="16.149999999999999">
      <c r="A111" s="177" t="s">
        <v>566</v>
      </c>
      <c r="B111" s="178">
        <v>37447</v>
      </c>
      <c r="C111" s="179">
        <v>66055.7</v>
      </c>
      <c r="D111" s="179"/>
      <c r="E111" s="181">
        <v>5.8124000000000002E-2</v>
      </c>
      <c r="F111" s="181">
        <v>6.2718999999999997E-2</v>
      </c>
      <c r="G111" s="181">
        <v>6.8173999999999998E-2</v>
      </c>
    </row>
    <row r="112" spans="1:7" ht="16.149999999999999">
      <c r="A112" s="177" t="s">
        <v>567</v>
      </c>
      <c r="B112" s="178">
        <v>37461</v>
      </c>
      <c r="C112" s="179">
        <v>10417.33</v>
      </c>
      <c r="D112" s="179"/>
      <c r="E112" s="181" t="s">
        <v>467</v>
      </c>
      <c r="F112" s="181">
        <v>6.4045000000000005E-2</v>
      </c>
      <c r="G112" s="181" t="s">
        <v>467</v>
      </c>
    </row>
    <row r="113" spans="1:7" ht="16.149999999999999">
      <c r="A113" s="177" t="s">
        <v>568</v>
      </c>
      <c r="B113" s="178">
        <v>37475</v>
      </c>
      <c r="C113" s="179">
        <v>27909.56</v>
      </c>
      <c r="D113" s="179"/>
      <c r="E113" s="181" t="s">
        <v>467</v>
      </c>
      <c r="F113" s="181">
        <v>6.3985E-2</v>
      </c>
      <c r="G113" s="181" t="s">
        <v>467</v>
      </c>
    </row>
    <row r="114" spans="1:7" ht="16.149999999999999">
      <c r="A114" s="177" t="s">
        <v>569</v>
      </c>
      <c r="B114" s="178">
        <v>37489</v>
      </c>
      <c r="C114" s="179">
        <v>24642.81</v>
      </c>
      <c r="D114" s="179"/>
      <c r="E114" s="181">
        <v>5.7976E-2</v>
      </c>
      <c r="F114" s="181" t="s">
        <v>467</v>
      </c>
      <c r="G114" s="181">
        <v>6.9406999999999996E-2</v>
      </c>
    </row>
    <row r="115" spans="1:7" ht="16.149999999999999">
      <c r="A115" s="177" t="s">
        <v>570</v>
      </c>
      <c r="B115" s="178">
        <v>37503</v>
      </c>
      <c r="C115" s="179">
        <v>17080.61</v>
      </c>
      <c r="D115" s="179"/>
      <c r="E115" s="181" t="s">
        <v>467</v>
      </c>
      <c r="F115" s="181">
        <v>6.3919000000000004E-2</v>
      </c>
      <c r="G115" s="181" t="s">
        <v>467</v>
      </c>
    </row>
    <row r="116" spans="1:7" ht="16.149999999999999">
      <c r="A116" s="177" t="s">
        <v>571</v>
      </c>
      <c r="B116" s="178">
        <v>37517</v>
      </c>
      <c r="C116" s="179">
        <v>26314.81</v>
      </c>
      <c r="D116" s="179"/>
      <c r="E116" s="181" t="s">
        <v>467</v>
      </c>
      <c r="F116" s="181">
        <v>6.3650999999999999E-2</v>
      </c>
      <c r="G116" s="181" t="s">
        <v>467</v>
      </c>
    </row>
    <row r="117" spans="1:7" ht="16.149999999999999">
      <c r="A117" s="177" t="s">
        <v>572</v>
      </c>
      <c r="B117" s="178">
        <v>37531</v>
      </c>
      <c r="C117" s="180" t="s">
        <v>467</v>
      </c>
      <c r="D117" s="180"/>
      <c r="E117" s="181" t="s">
        <v>467</v>
      </c>
      <c r="F117" s="181" t="s">
        <v>467</v>
      </c>
      <c r="G117" s="181" t="s">
        <v>467</v>
      </c>
    </row>
    <row r="118" spans="1:7" ht="16.149999999999999">
      <c r="A118" s="177" t="s">
        <v>573</v>
      </c>
      <c r="B118" s="178">
        <v>37545</v>
      </c>
      <c r="C118" s="179">
        <v>19144.330000000002</v>
      </c>
      <c r="D118" s="179"/>
      <c r="E118" s="181" t="s">
        <v>464</v>
      </c>
      <c r="F118" s="181">
        <v>6.3448000000000004E-2</v>
      </c>
      <c r="G118" s="181" t="s">
        <v>464</v>
      </c>
    </row>
    <row r="119" spans="1:7" ht="16.149999999999999">
      <c r="A119" s="177" t="s">
        <v>574</v>
      </c>
      <c r="B119" s="178">
        <v>37559</v>
      </c>
      <c r="C119" s="179">
        <v>37434.870000000003</v>
      </c>
      <c r="D119" s="179"/>
      <c r="E119" s="181" t="s">
        <v>464</v>
      </c>
      <c r="F119" s="181" t="s">
        <v>464</v>
      </c>
      <c r="G119" s="181">
        <v>6.8710999999999994E-2</v>
      </c>
    </row>
    <row r="120" spans="1:7" ht="16.149999999999999">
      <c r="A120" s="177" t="s">
        <v>575</v>
      </c>
      <c r="B120" s="178">
        <v>37573</v>
      </c>
      <c r="C120" s="179">
        <v>20936.25</v>
      </c>
      <c r="D120" s="179"/>
      <c r="E120" s="181" t="s">
        <v>464</v>
      </c>
      <c r="F120" s="181">
        <v>6.3580999999999999E-2</v>
      </c>
      <c r="G120" s="181" t="s">
        <v>464</v>
      </c>
    </row>
    <row r="121" spans="1:7" ht="16.149999999999999">
      <c r="A121" s="177" t="s">
        <v>576</v>
      </c>
      <c r="B121" s="178">
        <v>37587</v>
      </c>
      <c r="C121" s="179">
        <v>24469</v>
      </c>
      <c r="D121" s="179"/>
      <c r="E121" s="181" t="s">
        <v>464</v>
      </c>
      <c r="F121" s="181">
        <v>4.7620000000000003E-2</v>
      </c>
      <c r="G121" s="181" t="s">
        <v>464</v>
      </c>
    </row>
    <row r="122" spans="1:7" ht="16.149999999999999">
      <c r="A122" s="177" t="s">
        <v>577</v>
      </c>
      <c r="B122" s="178">
        <v>37601</v>
      </c>
      <c r="C122" s="179">
        <v>12970.31</v>
      </c>
      <c r="D122" s="179"/>
      <c r="E122" s="181" t="s">
        <v>464</v>
      </c>
      <c r="F122" s="181">
        <v>4.3247000000000001E-2</v>
      </c>
      <c r="G122" s="181" t="s">
        <v>464</v>
      </c>
    </row>
    <row r="123" spans="1:7" ht="16.149999999999999">
      <c r="A123" s="177" t="s">
        <v>578</v>
      </c>
      <c r="B123" s="178">
        <v>37614</v>
      </c>
      <c r="C123" s="179">
        <v>19324.669999999998</v>
      </c>
      <c r="D123" s="179"/>
      <c r="E123" s="181">
        <v>3.9019999999999999E-2</v>
      </c>
      <c r="F123" s="181" t="s">
        <v>464</v>
      </c>
      <c r="G123" s="181">
        <v>4.3596999999999997E-2</v>
      </c>
    </row>
    <row r="124" spans="1:7" ht="16.149999999999999">
      <c r="A124" s="177" t="s">
        <v>579</v>
      </c>
      <c r="B124" s="178">
        <v>37629</v>
      </c>
      <c r="C124" s="179">
        <v>33164.54</v>
      </c>
      <c r="D124" s="179"/>
      <c r="E124" s="181" t="s">
        <v>464</v>
      </c>
      <c r="F124" s="181">
        <v>3.8427000000000003E-2</v>
      </c>
      <c r="G124" s="181" t="s">
        <v>464</v>
      </c>
    </row>
    <row r="125" spans="1:7" ht="16.149999999999999">
      <c r="A125" s="177" t="s">
        <v>580</v>
      </c>
      <c r="B125" s="178">
        <v>37643</v>
      </c>
      <c r="C125" s="179">
        <v>27601.98</v>
      </c>
      <c r="D125" s="179"/>
      <c r="E125" s="181">
        <v>3.1754999999999999E-2</v>
      </c>
      <c r="F125" s="181" t="s">
        <v>464</v>
      </c>
      <c r="G125" s="181">
        <v>3.6318000000000003E-2</v>
      </c>
    </row>
    <row r="126" spans="1:7" ht="16.149999999999999">
      <c r="A126" s="177" t="s">
        <v>581</v>
      </c>
      <c r="B126" s="178">
        <v>37656</v>
      </c>
      <c r="C126" s="179">
        <v>43925.37</v>
      </c>
      <c r="D126" s="179"/>
      <c r="E126" s="181" t="s">
        <v>464</v>
      </c>
      <c r="F126" s="181">
        <v>3.1942999999999999E-2</v>
      </c>
      <c r="G126" s="181" t="s">
        <v>464</v>
      </c>
    </row>
    <row r="127" spans="1:7" ht="16.149999999999999">
      <c r="A127" s="177" t="s">
        <v>582</v>
      </c>
      <c r="B127" s="178">
        <v>37671</v>
      </c>
      <c r="C127" s="179">
        <v>9887.64</v>
      </c>
      <c r="D127" s="179"/>
      <c r="E127" s="181">
        <v>3.1725000000000003E-2</v>
      </c>
      <c r="F127" s="181" t="s">
        <v>464</v>
      </c>
      <c r="G127" s="181">
        <v>3.6012000000000002E-2</v>
      </c>
    </row>
    <row r="128" spans="1:7" ht="16.149999999999999">
      <c r="A128" s="177" t="s">
        <v>583</v>
      </c>
      <c r="B128" s="178">
        <v>37685</v>
      </c>
      <c r="C128" s="179">
        <v>30333.65</v>
      </c>
      <c r="D128" s="179"/>
      <c r="E128" s="181" t="s">
        <v>464</v>
      </c>
      <c r="F128" s="181">
        <v>2.0915E-2</v>
      </c>
      <c r="G128" s="181" t="s">
        <v>464</v>
      </c>
    </row>
    <row r="129" spans="1:7" ht="16.149999999999999">
      <c r="A129" s="177" t="s">
        <v>584</v>
      </c>
      <c r="B129" s="178">
        <v>37699</v>
      </c>
      <c r="C129" s="179">
        <v>40237.07</v>
      </c>
      <c r="D129" s="179"/>
      <c r="E129" s="181">
        <v>1.9604E-2</v>
      </c>
      <c r="F129" s="181" t="s">
        <v>464</v>
      </c>
      <c r="G129" s="181">
        <v>2.6588000000000001E-2</v>
      </c>
    </row>
    <row r="130" spans="1:7" ht="16.149999999999999">
      <c r="A130" s="177" t="s">
        <v>585</v>
      </c>
      <c r="B130" s="178">
        <v>37713</v>
      </c>
      <c r="C130" s="179">
        <v>4116.3599999999997</v>
      </c>
      <c r="D130" s="179"/>
      <c r="E130" s="181" t="s">
        <v>464</v>
      </c>
      <c r="F130" s="181">
        <v>1.6389000000000001E-2</v>
      </c>
      <c r="G130" s="181" t="s">
        <v>464</v>
      </c>
    </row>
    <row r="131" spans="1:7" ht="16.149999999999999">
      <c r="A131" s="177" t="s">
        <v>586</v>
      </c>
      <c r="B131" s="178">
        <v>37727</v>
      </c>
      <c r="C131" s="179">
        <v>24308.65</v>
      </c>
      <c r="D131" s="179"/>
      <c r="E131" s="181">
        <v>1.6574999999999999E-2</v>
      </c>
      <c r="F131" s="181" t="s">
        <v>464</v>
      </c>
      <c r="G131" s="181">
        <v>2.6086999999999999E-2</v>
      </c>
    </row>
    <row r="132" spans="1:7" ht="16.149999999999999">
      <c r="A132" s="177" t="s">
        <v>587</v>
      </c>
      <c r="B132" s="178">
        <v>37742</v>
      </c>
      <c r="C132" s="179">
        <v>12100.75</v>
      </c>
      <c r="D132" s="179"/>
      <c r="E132" s="181" t="s">
        <v>464</v>
      </c>
      <c r="F132" s="181">
        <v>1.6539999999999999E-2</v>
      </c>
      <c r="G132" s="181" t="s">
        <v>464</v>
      </c>
    </row>
    <row r="133" spans="1:7" ht="16.149999999999999">
      <c r="A133" s="177" t="s">
        <v>588</v>
      </c>
      <c r="B133" s="178">
        <v>37755</v>
      </c>
      <c r="C133" s="179">
        <v>40882.17</v>
      </c>
      <c r="D133" s="179"/>
      <c r="E133" s="181" t="s">
        <v>467</v>
      </c>
      <c r="F133" s="181" t="s">
        <v>464</v>
      </c>
      <c r="G133" s="181">
        <v>2.5772E-2</v>
      </c>
    </row>
    <row r="134" spans="1:7" ht="16.149999999999999">
      <c r="A134" s="177" t="s">
        <v>589</v>
      </c>
      <c r="B134" s="178">
        <v>37769</v>
      </c>
      <c r="C134" s="179">
        <v>23489.29</v>
      </c>
      <c r="D134" s="179"/>
      <c r="E134" s="181" t="s">
        <v>464</v>
      </c>
      <c r="F134" s="181">
        <v>1.7989999999999999E-2</v>
      </c>
      <c r="G134" s="181" t="s">
        <v>464</v>
      </c>
    </row>
    <row r="135" spans="1:7" ht="16.149999999999999">
      <c r="A135" s="177" t="s">
        <v>590</v>
      </c>
      <c r="B135" s="178">
        <v>37783</v>
      </c>
      <c r="C135" s="179">
        <v>25403.200000000001</v>
      </c>
      <c r="D135" s="179"/>
      <c r="E135" s="181" t="s">
        <v>467</v>
      </c>
      <c r="F135" s="181" t="s">
        <v>464</v>
      </c>
      <c r="G135" s="181">
        <v>2.3557999999999999E-2</v>
      </c>
    </row>
    <row r="136" spans="1:7" ht="16.149999999999999">
      <c r="A136" s="177" t="s">
        <v>591</v>
      </c>
      <c r="B136" s="178">
        <v>37797</v>
      </c>
      <c r="C136" s="179">
        <v>1487.65</v>
      </c>
      <c r="D136" s="179"/>
      <c r="E136" s="181" t="s">
        <v>464</v>
      </c>
      <c r="F136" s="181">
        <v>1.6558E-2</v>
      </c>
      <c r="G136" s="181" t="s">
        <v>464</v>
      </c>
    </row>
    <row r="137" spans="1:7" ht="16.149999999999999">
      <c r="A137" s="177" t="s">
        <v>592</v>
      </c>
      <c r="B137" s="178">
        <v>37811</v>
      </c>
      <c r="C137" s="179">
        <v>75718.12</v>
      </c>
      <c r="D137" s="179"/>
      <c r="E137" s="181">
        <v>1.6574999999999999E-2</v>
      </c>
      <c r="F137" s="181" t="s">
        <v>464</v>
      </c>
      <c r="G137" s="181">
        <v>2.1482999999999999E-2</v>
      </c>
    </row>
    <row r="138" spans="1:7" ht="16.149999999999999">
      <c r="A138" s="177" t="s">
        <v>593</v>
      </c>
      <c r="B138" s="178">
        <v>37825</v>
      </c>
      <c r="C138" s="179">
        <v>26937.27</v>
      </c>
      <c r="D138" s="179"/>
      <c r="E138" s="181" t="s">
        <v>464</v>
      </c>
      <c r="F138" s="181">
        <v>1.2116E-2</v>
      </c>
      <c r="G138" s="181" t="s">
        <v>464</v>
      </c>
    </row>
    <row r="139" spans="1:7" ht="16.149999999999999">
      <c r="A139" s="177" t="s">
        <v>594</v>
      </c>
      <c r="B139" s="178">
        <v>37839</v>
      </c>
      <c r="C139" s="179">
        <v>51353.89</v>
      </c>
      <c r="D139" s="179"/>
      <c r="E139" s="181">
        <v>9.9489999999999995E-3</v>
      </c>
      <c r="F139" s="181" t="s">
        <v>464</v>
      </c>
      <c r="G139" s="181">
        <v>1.3963E-2</v>
      </c>
    </row>
    <row r="140" spans="1:7" ht="16.149999999999999">
      <c r="A140" s="177" t="s">
        <v>595</v>
      </c>
      <c r="B140" s="178">
        <v>37853</v>
      </c>
      <c r="C140" s="179">
        <v>36479.06</v>
      </c>
      <c r="D140" s="179"/>
      <c r="E140" s="181" t="s">
        <v>464</v>
      </c>
      <c r="F140" s="181">
        <v>1.2147E-2</v>
      </c>
      <c r="G140" s="181" t="s">
        <v>464</v>
      </c>
    </row>
    <row r="141" spans="1:7" ht="16.149999999999999">
      <c r="A141" s="177" t="s">
        <v>596</v>
      </c>
      <c r="B141" s="178">
        <v>37867</v>
      </c>
      <c r="C141" s="179">
        <v>19484.349999999999</v>
      </c>
      <c r="D141" s="179"/>
      <c r="E141" s="181">
        <v>1.3772E-2</v>
      </c>
      <c r="F141" s="181" t="s">
        <v>464</v>
      </c>
      <c r="G141" s="181">
        <v>1.9296000000000001E-2</v>
      </c>
    </row>
    <row r="142" spans="1:7" ht="16.149999999999999">
      <c r="A142" s="177" t="s">
        <v>597</v>
      </c>
      <c r="B142" s="178">
        <v>37881</v>
      </c>
      <c r="C142" s="179">
        <v>14434.33</v>
      </c>
      <c r="D142" s="179"/>
      <c r="E142" s="181" t="s">
        <v>464</v>
      </c>
      <c r="F142" s="181">
        <v>1.6071999999999999E-2</v>
      </c>
      <c r="G142" s="181" t="s">
        <v>464</v>
      </c>
    </row>
    <row r="143" spans="1:7" ht="16.149999999999999">
      <c r="A143" s="177" t="s">
        <v>598</v>
      </c>
      <c r="B143" s="178">
        <v>37895</v>
      </c>
      <c r="C143" s="179">
        <v>1494.9</v>
      </c>
      <c r="D143" s="179"/>
      <c r="E143" s="181">
        <v>1.465E-2</v>
      </c>
      <c r="F143" s="181" t="s">
        <v>464</v>
      </c>
      <c r="G143" s="181" t="s">
        <v>467</v>
      </c>
    </row>
    <row r="144" spans="1:7" ht="16.149999999999999">
      <c r="A144" s="177" t="s">
        <v>599</v>
      </c>
      <c r="B144" s="178">
        <v>37909</v>
      </c>
      <c r="C144" s="180" t="s">
        <v>467</v>
      </c>
      <c r="D144" s="180"/>
      <c r="E144" s="181" t="s">
        <v>464</v>
      </c>
      <c r="F144" s="181" t="s">
        <v>467</v>
      </c>
      <c r="G144" s="181" t="s">
        <v>464</v>
      </c>
    </row>
    <row r="145" spans="1:7" ht="16.149999999999999">
      <c r="A145" s="177" t="s">
        <v>600</v>
      </c>
      <c r="B145" s="178">
        <v>37923</v>
      </c>
      <c r="C145" s="179">
        <v>38469.42</v>
      </c>
      <c r="D145" s="179"/>
      <c r="E145" s="181">
        <v>1.4589E-2</v>
      </c>
      <c r="F145" s="181" t="s">
        <v>464</v>
      </c>
      <c r="G145" s="181">
        <v>1.9473000000000001E-2</v>
      </c>
    </row>
    <row r="146" spans="1:7" ht="16.149999999999999">
      <c r="A146" s="177" t="s">
        <v>601</v>
      </c>
      <c r="B146" s="178">
        <v>37937</v>
      </c>
      <c r="C146" s="183">
        <v>198.36</v>
      </c>
      <c r="D146" s="183"/>
      <c r="E146" s="181" t="s">
        <v>464</v>
      </c>
      <c r="F146" s="181">
        <v>1.6580999999999999E-2</v>
      </c>
      <c r="G146" s="181" t="s">
        <v>464</v>
      </c>
    </row>
    <row r="147" spans="1:7" ht="16.149999999999999">
      <c r="A147" s="177" t="s">
        <v>602</v>
      </c>
      <c r="B147" s="178">
        <v>37950</v>
      </c>
      <c r="C147" s="183">
        <v>196.16</v>
      </c>
      <c r="D147" s="183"/>
      <c r="E147" s="181" t="s">
        <v>467</v>
      </c>
      <c r="F147" s="181" t="s">
        <v>464</v>
      </c>
      <c r="G147" s="181">
        <v>1.9848000000000001E-2</v>
      </c>
    </row>
    <row r="148" spans="1:7" ht="16.149999999999999">
      <c r="A148" s="177" t="s">
        <v>603</v>
      </c>
      <c r="B148" s="178">
        <v>37965</v>
      </c>
      <c r="C148" s="183">
        <v>297.56</v>
      </c>
      <c r="D148" s="183"/>
      <c r="E148" s="181" t="s">
        <v>464</v>
      </c>
      <c r="F148" s="181">
        <v>1.6445000000000001E-2</v>
      </c>
      <c r="G148" s="181" t="s">
        <v>464</v>
      </c>
    </row>
    <row r="149" spans="1:7" ht="16.149999999999999">
      <c r="A149" s="177" t="s">
        <v>604</v>
      </c>
      <c r="B149" s="178">
        <v>37979</v>
      </c>
      <c r="C149" s="183">
        <v>196.12</v>
      </c>
      <c r="D149" s="183"/>
      <c r="E149" s="181" t="s">
        <v>467</v>
      </c>
      <c r="F149" s="181" t="s">
        <v>464</v>
      </c>
      <c r="G149" s="181">
        <v>1.9893000000000001E-2</v>
      </c>
    </row>
    <row r="150" spans="1:7" ht="16.149999999999999">
      <c r="A150" s="177" t="s">
        <v>605</v>
      </c>
      <c r="B150" s="178">
        <v>37993</v>
      </c>
      <c r="C150" s="179">
        <v>8232.56</v>
      </c>
      <c r="D150" s="179"/>
      <c r="E150" s="181" t="s">
        <v>464</v>
      </c>
      <c r="F150" s="181">
        <v>1.6428999999999999E-2</v>
      </c>
      <c r="G150" s="181" t="s">
        <v>464</v>
      </c>
    </row>
    <row r="151" spans="1:7" ht="16.149999999999999">
      <c r="A151" s="177" t="s">
        <v>606</v>
      </c>
      <c r="B151" s="178">
        <v>38007</v>
      </c>
      <c r="C151" s="179">
        <v>9918.8700000000008</v>
      </c>
      <c r="D151" s="179"/>
      <c r="E151" s="181">
        <v>1.4762000000000001E-2</v>
      </c>
      <c r="F151" s="181" t="s">
        <v>464</v>
      </c>
      <c r="G151" s="181">
        <v>1.9571000000000002E-2</v>
      </c>
    </row>
    <row r="152" spans="1:7" ht="16.149999999999999">
      <c r="A152" s="177" t="s">
        <v>607</v>
      </c>
      <c r="B152" s="178">
        <v>38028</v>
      </c>
      <c r="C152" s="179">
        <v>29324.5</v>
      </c>
      <c r="D152" s="179"/>
      <c r="E152" s="181" t="s">
        <v>464</v>
      </c>
      <c r="F152" s="181">
        <v>1.6750000000000001E-2</v>
      </c>
      <c r="G152" s="181" t="s">
        <v>464</v>
      </c>
    </row>
    <row r="153" spans="1:7" ht="16.149999999999999">
      <c r="A153" s="177" t="s">
        <v>608</v>
      </c>
      <c r="B153" s="178">
        <v>38035</v>
      </c>
      <c r="C153" s="179">
        <v>39155.67</v>
      </c>
      <c r="D153" s="179"/>
      <c r="E153" s="181">
        <v>1.4914E-2</v>
      </c>
      <c r="F153" s="181" t="s">
        <v>464</v>
      </c>
      <c r="G153" s="181">
        <v>1.9748000000000002E-2</v>
      </c>
    </row>
    <row r="154" spans="1:7" ht="16.149999999999999">
      <c r="A154" s="177" t="s">
        <v>609</v>
      </c>
      <c r="B154" s="178">
        <v>38049</v>
      </c>
      <c r="C154" s="179">
        <v>18276.830000000002</v>
      </c>
      <c r="D154" s="179"/>
      <c r="E154" s="181" t="s">
        <v>464</v>
      </c>
      <c r="F154" s="181">
        <v>1.7356E-2</v>
      </c>
      <c r="G154" s="181" t="s">
        <v>464</v>
      </c>
    </row>
    <row r="155" spans="1:7" ht="16.149999999999999">
      <c r="A155" s="177" t="s">
        <v>610</v>
      </c>
      <c r="B155" s="178">
        <v>38063</v>
      </c>
      <c r="C155" s="179">
        <v>41124.519999999997</v>
      </c>
      <c r="D155" s="179"/>
      <c r="E155" s="181">
        <v>1.5240999999999999E-2</v>
      </c>
      <c r="F155" s="181" t="s">
        <v>464</v>
      </c>
      <c r="G155" s="181">
        <v>1.9962000000000001E-2</v>
      </c>
    </row>
    <row r="156" spans="1:7" ht="16.149999999999999">
      <c r="A156" s="177" t="s">
        <v>611</v>
      </c>
      <c r="B156" s="178">
        <v>38077</v>
      </c>
      <c r="C156" s="179">
        <v>20500.73</v>
      </c>
      <c r="D156" s="179"/>
      <c r="E156" s="181" t="s">
        <v>464</v>
      </c>
      <c r="F156" s="181">
        <v>1.8026E-2</v>
      </c>
      <c r="G156" s="181" t="s">
        <v>464</v>
      </c>
    </row>
    <row r="157" spans="1:7" ht="16.149999999999999">
      <c r="A157" s="177" t="s">
        <v>612</v>
      </c>
      <c r="B157" s="178">
        <v>38091</v>
      </c>
      <c r="C157" s="179">
        <v>16814.939999999999</v>
      </c>
      <c r="D157" s="179"/>
      <c r="E157" s="181">
        <v>1.6136999999999999E-2</v>
      </c>
      <c r="F157" s="181" t="s">
        <v>464</v>
      </c>
      <c r="G157" s="181">
        <v>2.0684999999999999E-2</v>
      </c>
    </row>
    <row r="158" spans="1:7" ht="16.149999999999999">
      <c r="A158" s="177" t="s">
        <v>613</v>
      </c>
      <c r="B158" s="178">
        <v>38104</v>
      </c>
      <c r="C158" s="183">
        <v>990.9</v>
      </c>
      <c r="D158" s="183"/>
      <c r="E158" s="181" t="s">
        <v>464</v>
      </c>
      <c r="F158" s="181">
        <v>1.8418E-2</v>
      </c>
      <c r="G158" s="181" t="s">
        <v>464</v>
      </c>
    </row>
    <row r="159" spans="1:7" ht="16.149999999999999">
      <c r="A159" s="177" t="s">
        <v>614</v>
      </c>
      <c r="B159" s="178">
        <v>38119</v>
      </c>
      <c r="C159" s="179">
        <v>57159.13</v>
      </c>
      <c r="D159" s="179"/>
      <c r="E159" s="181">
        <v>1.7018999999999999E-2</v>
      </c>
      <c r="F159" s="181" t="s">
        <v>464</v>
      </c>
      <c r="G159" s="181">
        <v>2.1867000000000001E-2</v>
      </c>
    </row>
    <row r="160" spans="1:7" ht="16.149999999999999">
      <c r="A160" s="177" t="s">
        <v>615</v>
      </c>
      <c r="B160" s="178">
        <v>38133</v>
      </c>
      <c r="C160" s="179">
        <v>1583.61</v>
      </c>
      <c r="D160" s="179"/>
      <c r="E160" s="181" t="s">
        <v>464</v>
      </c>
      <c r="F160" s="181">
        <v>2.0756E-2</v>
      </c>
      <c r="G160" s="181" t="s">
        <v>464</v>
      </c>
    </row>
    <row r="161" spans="1:7" ht="16.149999999999999">
      <c r="A161" s="177" t="s">
        <v>616</v>
      </c>
      <c r="B161" s="178">
        <v>38146</v>
      </c>
      <c r="C161" s="180" t="s">
        <v>467</v>
      </c>
      <c r="D161" s="180"/>
      <c r="E161" s="181" t="s">
        <v>467</v>
      </c>
      <c r="F161" s="181" t="s">
        <v>464</v>
      </c>
      <c r="G161" s="181" t="s">
        <v>467</v>
      </c>
    </row>
    <row r="162" spans="1:7" ht="16.149999999999999">
      <c r="A162" s="177" t="s">
        <v>617</v>
      </c>
      <c r="B162" s="178">
        <v>38161</v>
      </c>
      <c r="C162" s="180" t="s">
        <v>467</v>
      </c>
      <c r="D162" s="180"/>
      <c r="E162" s="181" t="s">
        <v>464</v>
      </c>
      <c r="F162" s="181" t="s">
        <v>467</v>
      </c>
      <c r="G162" s="181" t="s">
        <v>464</v>
      </c>
    </row>
    <row r="163" spans="1:7" ht="16.149999999999999">
      <c r="A163" s="177" t="s">
        <v>618</v>
      </c>
      <c r="B163" s="178">
        <v>38175</v>
      </c>
      <c r="C163" s="179">
        <v>65185.55</v>
      </c>
      <c r="D163" s="179"/>
      <c r="E163" s="181">
        <v>2.0168999999999999E-2</v>
      </c>
      <c r="F163" s="181" t="s">
        <v>464</v>
      </c>
      <c r="G163" s="181">
        <v>2.6911999999999998E-2</v>
      </c>
    </row>
    <row r="164" spans="1:7" ht="16.149999999999999">
      <c r="A164" s="177" t="s">
        <v>619</v>
      </c>
      <c r="B164" s="178">
        <v>38189</v>
      </c>
      <c r="C164" s="179">
        <v>66908.3</v>
      </c>
      <c r="D164" s="179"/>
      <c r="E164" s="181" t="s">
        <v>464</v>
      </c>
      <c r="F164" s="181">
        <v>2.5229000000000001E-2</v>
      </c>
      <c r="G164" s="181" t="s">
        <v>464</v>
      </c>
    </row>
    <row r="165" spans="1:7" ht="16.149999999999999">
      <c r="A165" s="177" t="s">
        <v>620</v>
      </c>
      <c r="B165" s="178">
        <v>38203</v>
      </c>
      <c r="C165" s="179">
        <v>50888.52</v>
      </c>
      <c r="D165" s="179"/>
      <c r="E165" s="181">
        <v>2.1260000000000001E-2</v>
      </c>
      <c r="F165" s="181" t="s">
        <v>464</v>
      </c>
      <c r="G165" s="181">
        <v>2.8336E-2</v>
      </c>
    </row>
    <row r="166" spans="1:7" ht="16.149999999999999">
      <c r="A166" s="177" t="s">
        <v>621</v>
      </c>
      <c r="B166" s="178">
        <v>38217</v>
      </c>
      <c r="C166" s="179">
        <v>46789.58</v>
      </c>
      <c r="D166" s="179"/>
      <c r="E166" s="181" t="s">
        <v>464</v>
      </c>
      <c r="F166" s="181">
        <v>2.6164E-2</v>
      </c>
      <c r="G166" s="181" t="s">
        <v>464</v>
      </c>
    </row>
    <row r="167" spans="1:7" ht="16.149999999999999">
      <c r="A167" s="177" t="s">
        <v>622</v>
      </c>
      <c r="B167" s="178">
        <v>38231</v>
      </c>
      <c r="C167" s="179">
        <v>61055.09</v>
      </c>
      <c r="D167" s="179"/>
      <c r="E167" s="181">
        <v>2.2317E-2</v>
      </c>
      <c r="F167" s="181" t="s">
        <v>464</v>
      </c>
      <c r="G167" s="181">
        <v>2.9683999999999999E-2</v>
      </c>
    </row>
    <row r="168" spans="1:7" ht="16.149999999999999">
      <c r="A168" s="177" t="s">
        <v>623</v>
      </c>
      <c r="B168" s="178">
        <v>38245</v>
      </c>
      <c r="C168" s="179">
        <v>1083.79</v>
      </c>
      <c r="D168" s="179"/>
      <c r="E168" s="181" t="s">
        <v>464</v>
      </c>
      <c r="F168" s="181">
        <v>3.0005E-2</v>
      </c>
      <c r="G168" s="181" t="s">
        <v>464</v>
      </c>
    </row>
    <row r="169" spans="1:7" ht="16.149999999999999">
      <c r="A169" s="177" t="s">
        <v>624</v>
      </c>
      <c r="B169" s="178">
        <v>38259</v>
      </c>
      <c r="C169" s="179">
        <v>17332.439999999999</v>
      </c>
      <c r="D169" s="179"/>
      <c r="E169" s="181">
        <v>2.9474E-2</v>
      </c>
      <c r="F169" s="181" t="s">
        <v>464</v>
      </c>
      <c r="G169" s="181" t="s">
        <v>467</v>
      </c>
    </row>
    <row r="170" spans="1:7" ht="16.149999999999999">
      <c r="A170" s="177" t="s">
        <v>625</v>
      </c>
      <c r="B170" s="178">
        <v>38273</v>
      </c>
      <c r="C170" s="179">
        <v>1230.44</v>
      </c>
      <c r="D170" s="179"/>
      <c r="E170" s="181" t="s">
        <v>464</v>
      </c>
      <c r="F170" s="181">
        <v>3.1889000000000001E-2</v>
      </c>
      <c r="G170" s="181" t="s">
        <v>464</v>
      </c>
    </row>
    <row r="171" spans="1:7" ht="16.149999999999999">
      <c r="A171" s="177" t="s">
        <v>626</v>
      </c>
      <c r="B171" s="178">
        <v>38287</v>
      </c>
      <c r="C171" s="179">
        <v>20194.27</v>
      </c>
      <c r="D171" s="179"/>
      <c r="E171" s="181">
        <v>3.2228E-2</v>
      </c>
      <c r="F171" s="181" t="s">
        <v>464</v>
      </c>
      <c r="G171" s="181">
        <v>3.8419000000000002E-2</v>
      </c>
    </row>
    <row r="172" spans="1:7" ht="16.149999999999999">
      <c r="A172" s="177" t="s">
        <v>627</v>
      </c>
      <c r="B172" s="178">
        <v>38301</v>
      </c>
      <c r="C172" s="179">
        <v>2405.2399999999998</v>
      </c>
      <c r="D172" s="179"/>
      <c r="E172" s="181" t="s">
        <v>464</v>
      </c>
      <c r="F172" s="181">
        <v>3.7321E-2</v>
      </c>
      <c r="G172" s="181" t="s">
        <v>464</v>
      </c>
    </row>
    <row r="173" spans="1:7" ht="16.149999999999999">
      <c r="A173" s="177" t="s">
        <v>628</v>
      </c>
      <c r="B173" s="178">
        <v>38315</v>
      </c>
      <c r="C173" s="179">
        <v>26261.46</v>
      </c>
      <c r="D173" s="179"/>
      <c r="E173" s="181">
        <v>3.7782999999999997E-2</v>
      </c>
      <c r="F173" s="181" t="s">
        <v>464</v>
      </c>
      <c r="G173" s="181">
        <v>4.4290000000000003E-2</v>
      </c>
    </row>
    <row r="174" spans="1:7" ht="16.149999999999999">
      <c r="A174" s="177" t="s">
        <v>629</v>
      </c>
      <c r="B174" s="178">
        <v>38329</v>
      </c>
      <c r="C174" s="180" t="s">
        <v>467</v>
      </c>
      <c r="D174" s="180"/>
      <c r="E174" s="181" t="s">
        <v>464</v>
      </c>
      <c r="F174" s="181" t="s">
        <v>467</v>
      </c>
      <c r="G174" s="181" t="s">
        <v>464</v>
      </c>
    </row>
    <row r="175" spans="1:7" ht="16.149999999999999">
      <c r="A175" s="177" t="s">
        <v>630</v>
      </c>
      <c r="B175" s="178">
        <v>38343</v>
      </c>
      <c r="C175" s="179">
        <v>15113.79</v>
      </c>
      <c r="D175" s="179"/>
      <c r="E175" s="181">
        <v>3.9161000000000001E-2</v>
      </c>
      <c r="F175" s="181" t="s">
        <v>464</v>
      </c>
      <c r="G175" s="181" t="s">
        <v>467</v>
      </c>
    </row>
    <row r="176" spans="1:7" ht="16.149999999999999">
      <c r="A176" s="177" t="s">
        <v>631</v>
      </c>
      <c r="B176" s="178">
        <v>38357</v>
      </c>
      <c r="C176" s="179">
        <v>26892.39</v>
      </c>
      <c r="D176" s="179"/>
      <c r="E176" s="181" t="s">
        <v>464</v>
      </c>
      <c r="F176" s="181">
        <v>4.1584000000000003E-2</v>
      </c>
      <c r="G176" s="181" t="s">
        <v>464</v>
      </c>
    </row>
    <row r="177" spans="1:7" ht="16.149999999999999">
      <c r="A177" s="177" t="s">
        <v>632</v>
      </c>
      <c r="B177" s="178">
        <v>38371</v>
      </c>
      <c r="C177" s="179">
        <v>77002.009999999995</v>
      </c>
      <c r="D177" s="179"/>
      <c r="E177" s="181">
        <v>4.1397000000000003E-2</v>
      </c>
      <c r="F177" s="181" t="s">
        <v>464</v>
      </c>
      <c r="G177" s="181">
        <v>4.9556999999999997E-2</v>
      </c>
    </row>
    <row r="178" spans="1:7" ht="16.149999999999999">
      <c r="A178" s="177" t="s">
        <v>633</v>
      </c>
      <c r="B178" s="178">
        <v>38385</v>
      </c>
      <c r="C178" s="183">
        <v>976.65</v>
      </c>
      <c r="D178" s="183"/>
      <c r="E178" s="181" t="s">
        <v>464</v>
      </c>
      <c r="F178" s="181">
        <v>4.7947999999999998E-2</v>
      </c>
      <c r="G178" s="181" t="s">
        <v>464</v>
      </c>
    </row>
    <row r="179" spans="1:7" ht="16.149999999999999">
      <c r="A179" s="177" t="s">
        <v>634</v>
      </c>
      <c r="B179" s="178">
        <v>38399</v>
      </c>
      <c r="C179" s="179">
        <v>62346.87</v>
      </c>
      <c r="D179" s="179"/>
      <c r="E179" s="181">
        <v>4.6972E-2</v>
      </c>
      <c r="F179" s="181" t="s">
        <v>464</v>
      </c>
      <c r="G179" s="181">
        <v>5.4891000000000002E-2</v>
      </c>
    </row>
    <row r="180" spans="1:7" ht="16.149999999999999">
      <c r="A180" s="177" t="s">
        <v>635</v>
      </c>
      <c r="B180" s="178">
        <v>38413</v>
      </c>
      <c r="C180" s="179">
        <v>15421.34</v>
      </c>
      <c r="D180" s="179"/>
      <c r="E180" s="181" t="s">
        <v>464</v>
      </c>
      <c r="F180" s="181">
        <v>5.1845000000000002E-2</v>
      </c>
      <c r="G180" s="181" t="s">
        <v>464</v>
      </c>
    </row>
    <row r="181" spans="1:7" ht="16.149999999999999">
      <c r="A181" s="177" t="s">
        <v>636</v>
      </c>
      <c r="B181" s="178">
        <v>38427</v>
      </c>
      <c r="C181" s="179">
        <v>78792.5</v>
      </c>
      <c r="D181" s="179"/>
      <c r="E181" s="181">
        <v>4.9362999999999997E-2</v>
      </c>
      <c r="F181" s="181" t="s">
        <v>464</v>
      </c>
      <c r="G181" s="181">
        <v>5.7213E-2</v>
      </c>
    </row>
    <row r="182" spans="1:7" ht="16.149999999999999">
      <c r="A182" s="177" t="s">
        <v>637</v>
      </c>
      <c r="B182" s="178">
        <v>38441</v>
      </c>
      <c r="C182" s="179">
        <v>21947.34</v>
      </c>
      <c r="D182" s="179"/>
      <c r="E182" s="181" t="s">
        <v>464</v>
      </c>
      <c r="F182" s="181">
        <v>5.5070000000000001E-2</v>
      </c>
      <c r="G182" s="181" t="s">
        <v>464</v>
      </c>
    </row>
    <row r="183" spans="1:7" ht="16.149999999999999">
      <c r="A183" s="177" t="s">
        <v>638</v>
      </c>
      <c r="B183" s="178">
        <v>38455</v>
      </c>
      <c r="C183" s="179">
        <v>98772.43</v>
      </c>
      <c r="D183" s="179"/>
      <c r="E183" s="181">
        <v>5.8139999999999997E-2</v>
      </c>
      <c r="F183" s="181" t="s">
        <v>464</v>
      </c>
      <c r="G183" s="181">
        <v>7.1045999999999998E-2</v>
      </c>
    </row>
    <row r="184" spans="1:7" ht="16.149999999999999">
      <c r="A184" s="177" t="s">
        <v>639</v>
      </c>
      <c r="B184" s="178">
        <v>38469</v>
      </c>
      <c r="C184" s="179">
        <v>7881.9</v>
      </c>
      <c r="D184" s="179"/>
      <c r="E184" s="181" t="s">
        <v>464</v>
      </c>
      <c r="F184" s="181">
        <v>7.0762000000000005E-2</v>
      </c>
      <c r="G184" s="181" t="s">
        <v>464</v>
      </c>
    </row>
    <row r="185" spans="1:7" ht="16.149999999999999">
      <c r="A185" s="177" t="s">
        <v>640</v>
      </c>
      <c r="B185" s="178">
        <v>38483</v>
      </c>
      <c r="C185" s="179">
        <v>86138.23</v>
      </c>
      <c r="D185" s="179"/>
      <c r="E185" s="181">
        <v>7.0261000000000004E-2</v>
      </c>
      <c r="F185" s="181" t="s">
        <v>464</v>
      </c>
      <c r="G185" s="181">
        <v>7.911E-2</v>
      </c>
    </row>
    <row r="186" spans="1:7" ht="16.149999999999999">
      <c r="A186" s="177" t="s">
        <v>641</v>
      </c>
      <c r="B186" s="178">
        <v>38497</v>
      </c>
      <c r="C186" s="183">
        <v>40.950000000000003</v>
      </c>
      <c r="D186" s="183"/>
      <c r="E186" s="181" t="s">
        <v>464</v>
      </c>
      <c r="F186" s="181">
        <v>7.8233999999999998E-2</v>
      </c>
      <c r="G186" s="181" t="s">
        <v>464</v>
      </c>
    </row>
    <row r="187" spans="1:7" ht="16.149999999999999">
      <c r="A187" s="177" t="s">
        <v>642</v>
      </c>
      <c r="B187" s="178">
        <v>38511</v>
      </c>
      <c r="C187" s="183">
        <v>490.85</v>
      </c>
      <c r="D187" s="183"/>
      <c r="E187" s="181">
        <v>7.3801000000000005E-2</v>
      </c>
      <c r="F187" s="181">
        <v>7.8969999999999999E-2</v>
      </c>
      <c r="G187" s="181">
        <v>8.2951999999999998E-2</v>
      </c>
    </row>
    <row r="188" spans="1:7" ht="16.149999999999999">
      <c r="A188" s="177" t="s">
        <v>643</v>
      </c>
      <c r="B188" s="178">
        <v>38525</v>
      </c>
      <c r="C188" s="179">
        <v>105576.7</v>
      </c>
      <c r="D188" s="179"/>
      <c r="E188" s="181">
        <v>7.4789999999999995E-2</v>
      </c>
      <c r="F188" s="181">
        <v>7.9447000000000004E-2</v>
      </c>
      <c r="G188" s="181">
        <v>8.4009E-2</v>
      </c>
    </row>
    <row r="189" spans="1:7" ht="16.149999999999999">
      <c r="A189" s="177" t="s">
        <v>644</v>
      </c>
      <c r="B189" s="178">
        <v>38539</v>
      </c>
      <c r="C189" s="179">
        <v>76414.86</v>
      </c>
      <c r="D189" s="179"/>
      <c r="E189" s="181">
        <v>7.5489000000000001E-2</v>
      </c>
      <c r="F189" s="181">
        <v>7.9760999999999999E-2</v>
      </c>
      <c r="G189" s="181">
        <v>8.4560999999999997E-2</v>
      </c>
    </row>
    <row r="190" spans="1:7" ht="16.149999999999999">
      <c r="A190" s="177" t="s">
        <v>645</v>
      </c>
      <c r="B190" s="178">
        <v>38553</v>
      </c>
      <c r="C190" s="179">
        <v>17443.349999999999</v>
      </c>
      <c r="D190" s="179"/>
      <c r="E190" s="181">
        <v>7.6946000000000001E-2</v>
      </c>
      <c r="F190" s="181">
        <v>7.9676999999999998E-2</v>
      </c>
      <c r="G190" s="181">
        <v>8.6884000000000003E-2</v>
      </c>
    </row>
    <row r="191" spans="1:7" ht="16.149999999999999">
      <c r="A191" s="177" t="s">
        <v>646</v>
      </c>
      <c r="B191" s="178">
        <v>38567</v>
      </c>
      <c r="C191" s="179">
        <v>54781.02</v>
      </c>
      <c r="D191" s="179"/>
      <c r="E191" s="181">
        <v>7.7488000000000001E-2</v>
      </c>
      <c r="F191" s="181">
        <v>8.0230999999999997E-2</v>
      </c>
      <c r="G191" s="181">
        <v>8.6985999999999994E-2</v>
      </c>
    </row>
    <row r="192" spans="1:7" ht="16.149999999999999">
      <c r="A192" s="177" t="s">
        <v>647</v>
      </c>
      <c r="B192" s="178">
        <v>38581</v>
      </c>
      <c r="C192" s="179">
        <v>14152.57</v>
      </c>
      <c r="D192" s="179"/>
      <c r="E192" s="181">
        <v>7.8436000000000006E-2</v>
      </c>
      <c r="F192" s="181">
        <v>8.1056000000000003E-2</v>
      </c>
      <c r="G192" s="181">
        <v>8.7864999999999999E-2</v>
      </c>
    </row>
    <row r="193" spans="1:7" ht="16.149999999999999">
      <c r="A193" s="177" t="s">
        <v>648</v>
      </c>
      <c r="B193" s="178">
        <v>38595</v>
      </c>
      <c r="C193" s="179">
        <v>105887.67</v>
      </c>
      <c r="D193" s="179"/>
      <c r="E193" s="181">
        <v>7.9919000000000004E-2</v>
      </c>
      <c r="F193" s="181">
        <v>8.1244999999999998E-2</v>
      </c>
      <c r="G193" s="181">
        <v>8.7830000000000005E-2</v>
      </c>
    </row>
    <row r="194" spans="1:7" ht="16.149999999999999">
      <c r="A194" s="177" t="s">
        <v>649</v>
      </c>
      <c r="B194" s="178">
        <v>38609</v>
      </c>
      <c r="C194" s="179">
        <v>9269.17</v>
      </c>
      <c r="D194" s="179"/>
      <c r="E194" s="181">
        <v>8.1000000000000003E-2</v>
      </c>
      <c r="F194" s="181">
        <v>8.1388000000000002E-2</v>
      </c>
      <c r="G194" s="181">
        <v>8.7906999999999999E-2</v>
      </c>
    </row>
    <row r="195" spans="1:7" ht="16.149999999999999">
      <c r="A195" s="177" t="s">
        <v>650</v>
      </c>
      <c r="B195" s="178">
        <v>38623</v>
      </c>
      <c r="C195" s="179">
        <v>8232.56</v>
      </c>
      <c r="D195" s="179"/>
      <c r="E195" s="181">
        <v>8.1000000000000003E-2</v>
      </c>
      <c r="F195" s="181">
        <v>8.1388000000000002E-2</v>
      </c>
      <c r="G195" s="181">
        <v>8.7896000000000002E-2</v>
      </c>
    </row>
    <row r="196" spans="1:7" ht="16.149999999999999">
      <c r="A196" s="177" t="s">
        <v>651</v>
      </c>
      <c r="B196" s="178">
        <v>38637</v>
      </c>
      <c r="C196" s="179">
        <v>4270.7</v>
      </c>
      <c r="D196" s="179"/>
      <c r="E196" s="181">
        <v>8.1000000000000003E-2</v>
      </c>
      <c r="F196" s="181">
        <v>8.1388000000000002E-2</v>
      </c>
      <c r="G196" s="181">
        <v>8.7906999999999999E-2</v>
      </c>
    </row>
    <row r="197" spans="1:7" ht="16.149999999999999">
      <c r="A197" s="177" t="s">
        <v>652</v>
      </c>
      <c r="B197" s="178">
        <v>38651</v>
      </c>
      <c r="C197" s="179">
        <v>18476.57</v>
      </c>
      <c r="D197" s="179"/>
      <c r="E197" s="181">
        <v>8.0953999999999998E-2</v>
      </c>
      <c r="F197" s="181">
        <v>8.1388000000000002E-2</v>
      </c>
      <c r="G197" s="181">
        <v>8.7687000000000001E-2</v>
      </c>
    </row>
    <row r="198" spans="1:7" ht="16.149999999999999">
      <c r="A198" s="177" t="s">
        <v>653</v>
      </c>
      <c r="B198" s="178">
        <v>38664</v>
      </c>
      <c r="C198" s="179">
        <v>7063.96</v>
      </c>
      <c r="D198" s="179"/>
      <c r="E198" s="181">
        <v>8.1000000000000003E-2</v>
      </c>
      <c r="F198" s="181">
        <v>8.1388000000000002E-2</v>
      </c>
      <c r="G198" s="181">
        <v>8.7674000000000002E-2</v>
      </c>
    </row>
    <row r="199" spans="1:7" ht="16.149999999999999">
      <c r="A199" s="177" t="s">
        <v>654</v>
      </c>
      <c r="B199" s="178">
        <v>38679</v>
      </c>
      <c r="C199" s="179">
        <v>57208.62</v>
      </c>
      <c r="D199" s="179"/>
      <c r="E199" s="181">
        <v>8.1000000000000003E-2</v>
      </c>
      <c r="F199" s="181">
        <v>8.2583000000000004E-2</v>
      </c>
      <c r="G199" s="181">
        <v>8.7665999999999994E-2</v>
      </c>
    </row>
    <row r="200" spans="1:7" ht="16.149999999999999">
      <c r="A200" s="177" t="s">
        <v>655</v>
      </c>
      <c r="B200" s="178">
        <v>38693</v>
      </c>
      <c r="C200" s="179">
        <v>18020.78</v>
      </c>
      <c r="D200" s="179"/>
      <c r="E200" s="181" t="s">
        <v>467</v>
      </c>
      <c r="F200" s="181" t="s">
        <v>467</v>
      </c>
      <c r="G200" s="181">
        <v>8.7873999999999994E-2</v>
      </c>
    </row>
    <row r="201" spans="1:7" ht="16.149999999999999">
      <c r="A201" s="177" t="s">
        <v>656</v>
      </c>
      <c r="B201" s="178">
        <v>38707</v>
      </c>
      <c r="C201" s="179">
        <v>68479.039999999994</v>
      </c>
      <c r="D201" s="179"/>
      <c r="E201" s="181">
        <v>8.0894999999999995E-2</v>
      </c>
      <c r="F201" s="181">
        <v>8.2450999999999997E-2</v>
      </c>
      <c r="G201" s="181">
        <v>8.7648000000000004E-2</v>
      </c>
    </row>
    <row r="202" spans="1:7" ht="16.149999999999999">
      <c r="A202" s="177" t="s">
        <v>657</v>
      </c>
      <c r="B202" s="178">
        <v>38721</v>
      </c>
      <c r="C202" s="179">
        <v>46726.17</v>
      </c>
      <c r="D202" s="179"/>
      <c r="E202" s="181">
        <v>8.1000000000000003E-2</v>
      </c>
      <c r="F202" s="181">
        <v>8.2741999999999996E-2</v>
      </c>
      <c r="G202" s="181">
        <v>8.7767999999999999E-2</v>
      </c>
    </row>
    <row r="203" spans="1:7" ht="16.149999999999999">
      <c r="A203" s="177" t="s">
        <v>658</v>
      </c>
      <c r="B203" s="178">
        <v>38735</v>
      </c>
      <c r="C203" s="179">
        <v>8447.61</v>
      </c>
      <c r="D203" s="179"/>
      <c r="E203" s="181">
        <v>8.1000000000000003E-2</v>
      </c>
      <c r="F203" s="181">
        <v>8.2909999999999998E-2</v>
      </c>
      <c r="G203" s="181">
        <v>8.7523000000000004E-2</v>
      </c>
    </row>
    <row r="204" spans="1:7" ht="16.149999999999999">
      <c r="A204" s="177" t="s">
        <v>659</v>
      </c>
      <c r="B204" s="178">
        <v>38749</v>
      </c>
      <c r="C204" s="179">
        <v>14161.78</v>
      </c>
      <c r="D204" s="179"/>
      <c r="E204" s="181">
        <v>8.1000000000000003E-2</v>
      </c>
      <c r="F204" s="181">
        <v>8.2909999999999998E-2</v>
      </c>
      <c r="G204" s="181">
        <v>8.7843000000000004E-2</v>
      </c>
    </row>
    <row r="205" spans="1:7" ht="16.149999999999999">
      <c r="A205" s="177" t="s">
        <v>660</v>
      </c>
      <c r="B205" s="178">
        <v>38763</v>
      </c>
      <c r="C205" s="179">
        <v>5868.49</v>
      </c>
      <c r="D205" s="179"/>
      <c r="E205" s="181">
        <v>8.1000000000000003E-2</v>
      </c>
      <c r="F205" s="181" t="s">
        <v>467</v>
      </c>
      <c r="G205" s="181">
        <v>8.7906999999999999E-2</v>
      </c>
    </row>
    <row r="206" spans="1:7" ht="16.149999999999999">
      <c r="A206" s="177" t="s">
        <v>661</v>
      </c>
      <c r="B206" s="178">
        <v>38777</v>
      </c>
      <c r="C206" s="179">
        <v>7477.28</v>
      </c>
      <c r="D206" s="179"/>
      <c r="E206" s="181">
        <v>8.1000000000000003E-2</v>
      </c>
      <c r="F206" s="181">
        <v>8.2909999999999998E-2</v>
      </c>
      <c r="G206" s="181">
        <v>8.7807999999999997E-2</v>
      </c>
    </row>
    <row r="207" spans="1:7" ht="16.149999999999999">
      <c r="A207" s="177" t="s">
        <v>662</v>
      </c>
      <c r="B207" s="178">
        <v>38791</v>
      </c>
      <c r="C207" s="179">
        <v>25003.279999999999</v>
      </c>
      <c r="D207" s="179"/>
      <c r="E207" s="181">
        <v>8.1000000000000003E-2</v>
      </c>
      <c r="F207" s="181">
        <v>8.2909999999999998E-2</v>
      </c>
      <c r="G207" s="181">
        <v>8.7831999999999993E-2</v>
      </c>
    </row>
    <row r="208" spans="1:7" ht="16.149999999999999">
      <c r="A208" s="177" t="s">
        <v>663</v>
      </c>
      <c r="B208" s="178">
        <v>38805</v>
      </c>
      <c r="C208" s="179">
        <v>37463.370000000003</v>
      </c>
      <c r="D208" s="179"/>
      <c r="E208" s="181">
        <v>8.1000000000000003E-2</v>
      </c>
      <c r="F208" s="181">
        <v>8.2909999999999998E-2</v>
      </c>
      <c r="G208" s="181">
        <v>8.7897000000000003E-2</v>
      </c>
    </row>
    <row r="209" spans="1:7" ht="16.149999999999999">
      <c r="A209" s="177" t="s">
        <v>664</v>
      </c>
      <c r="B209" s="178">
        <v>38819</v>
      </c>
      <c r="C209" s="179">
        <v>13663.76</v>
      </c>
      <c r="D209" s="179"/>
      <c r="E209" s="181">
        <v>8.1000000000000003E-2</v>
      </c>
      <c r="F209" s="181">
        <v>8.2909999999999998E-2</v>
      </c>
      <c r="G209" s="181">
        <v>8.7877999999999998E-2</v>
      </c>
    </row>
    <row r="210" spans="1:7" ht="16.149999999999999">
      <c r="A210" s="177" t="s">
        <v>665</v>
      </c>
      <c r="B210" s="178">
        <v>38833</v>
      </c>
      <c r="C210" s="183">
        <v>459.7</v>
      </c>
      <c r="D210" s="183"/>
      <c r="E210" s="181" t="s">
        <v>464</v>
      </c>
      <c r="F210" s="181" t="s">
        <v>464</v>
      </c>
      <c r="G210" s="181">
        <v>8.7906999999999999E-2</v>
      </c>
    </row>
    <row r="211" spans="1:7" ht="16.149999999999999">
      <c r="A211" s="177" t="s">
        <v>666</v>
      </c>
      <c r="B211" s="178">
        <v>38847</v>
      </c>
      <c r="C211" s="183">
        <v>653.88</v>
      </c>
      <c r="D211" s="183"/>
      <c r="E211" s="181">
        <v>8.1000000000000003E-2</v>
      </c>
      <c r="F211" s="181">
        <v>8.2889000000000004E-2</v>
      </c>
      <c r="G211" s="181">
        <v>8.7906999999999999E-2</v>
      </c>
    </row>
    <row r="212" spans="1:7" ht="16.149999999999999">
      <c r="A212" s="177" t="s">
        <v>667</v>
      </c>
      <c r="B212" s="178">
        <v>38861</v>
      </c>
      <c r="C212" s="179">
        <v>1113.5999999999999</v>
      </c>
      <c r="D212" s="179"/>
      <c r="E212" s="181">
        <v>8.1000000000000003E-2</v>
      </c>
      <c r="F212" s="181">
        <v>8.2909999999999998E-2</v>
      </c>
      <c r="G212" s="181">
        <v>8.7906999999999999E-2</v>
      </c>
    </row>
    <row r="213" spans="1:7" ht="16.149999999999999">
      <c r="A213" s="177" t="s">
        <v>668</v>
      </c>
      <c r="B213" s="178">
        <v>38875</v>
      </c>
      <c r="C213" s="179">
        <v>25711.77</v>
      </c>
      <c r="D213" s="179"/>
      <c r="E213" s="181">
        <v>8.2469000000000001E-2</v>
      </c>
      <c r="F213" s="181">
        <v>8.4179000000000004E-2</v>
      </c>
      <c r="G213" s="181">
        <v>8.7862999999999997E-2</v>
      </c>
    </row>
    <row r="214" spans="1:7" ht="16.149999999999999">
      <c r="A214" s="177" t="s">
        <v>669</v>
      </c>
      <c r="B214" s="178">
        <v>38889</v>
      </c>
      <c r="C214" s="179">
        <v>5399.03</v>
      </c>
      <c r="D214" s="179"/>
      <c r="E214" s="181">
        <v>8.3255999999999997E-2</v>
      </c>
      <c r="F214" s="181">
        <v>8.4869E-2</v>
      </c>
      <c r="G214" s="181">
        <v>8.7906999999999999E-2</v>
      </c>
    </row>
    <row r="215" spans="1:7" ht="16.149999999999999">
      <c r="A215" s="177" t="s">
        <v>670</v>
      </c>
      <c r="B215" s="178">
        <v>38903</v>
      </c>
      <c r="C215" s="179">
        <v>76207.78</v>
      </c>
      <c r="D215" s="179"/>
      <c r="E215" s="181">
        <v>8.3148E-2</v>
      </c>
      <c r="F215" s="181">
        <v>8.4849999999999995E-2</v>
      </c>
      <c r="G215" s="181">
        <v>8.7902999999999995E-2</v>
      </c>
    </row>
    <row r="216" spans="1:7" ht="16.149999999999999">
      <c r="A216" s="177" t="s">
        <v>671</v>
      </c>
      <c r="B216" s="178">
        <v>38917</v>
      </c>
      <c r="C216" s="179">
        <v>14754.83</v>
      </c>
      <c r="D216" s="179"/>
      <c r="E216" s="181">
        <v>8.3255999999999997E-2</v>
      </c>
      <c r="F216" s="181">
        <v>8.4869E-2</v>
      </c>
      <c r="G216" s="181">
        <v>8.7864999999999999E-2</v>
      </c>
    </row>
    <row r="217" spans="1:7" ht="16.149999999999999">
      <c r="A217" s="177" t="s">
        <v>672</v>
      </c>
      <c r="B217" s="178">
        <v>38931</v>
      </c>
      <c r="C217" s="179">
        <v>6263.67</v>
      </c>
      <c r="D217" s="179"/>
      <c r="E217" s="181">
        <v>8.6114999999999997E-2</v>
      </c>
      <c r="F217" s="181">
        <v>8.8097999999999996E-2</v>
      </c>
      <c r="G217" s="181">
        <v>9.0046000000000001E-2</v>
      </c>
    </row>
    <row r="218" spans="1:7" ht="16.149999999999999">
      <c r="A218" s="177" t="s">
        <v>673</v>
      </c>
      <c r="B218" s="178">
        <v>38945</v>
      </c>
      <c r="C218" s="179">
        <v>11452.9</v>
      </c>
      <c r="D218" s="179"/>
      <c r="E218" s="181">
        <v>8.6293999999999996E-2</v>
      </c>
      <c r="F218" s="181">
        <v>8.8141999999999998E-2</v>
      </c>
      <c r="G218" s="181">
        <v>9.0046000000000001E-2</v>
      </c>
    </row>
    <row r="219" spans="1:7" ht="16.149999999999999">
      <c r="A219" s="177" t="s">
        <v>674</v>
      </c>
      <c r="B219" s="178">
        <v>38959</v>
      </c>
      <c r="C219" s="179">
        <v>11086.99</v>
      </c>
      <c r="D219" s="179"/>
      <c r="E219" s="181">
        <v>8.6416999999999994E-2</v>
      </c>
      <c r="F219" s="181">
        <v>8.8141999999999998E-2</v>
      </c>
      <c r="G219" s="181">
        <v>9.0046000000000001E-2</v>
      </c>
    </row>
    <row r="220" spans="1:7" ht="16.149999999999999">
      <c r="A220" s="177" t="s">
        <v>675</v>
      </c>
      <c r="B220" s="178">
        <v>38973</v>
      </c>
      <c r="C220" s="179">
        <v>19786.91</v>
      </c>
      <c r="D220" s="179"/>
      <c r="E220" s="181">
        <v>8.6416999999999994E-2</v>
      </c>
      <c r="F220" s="181">
        <v>8.8141999999999998E-2</v>
      </c>
      <c r="G220" s="181">
        <v>9.0046000000000001E-2</v>
      </c>
    </row>
    <row r="221" spans="1:7" ht="16.149999999999999">
      <c r="A221" s="177" t="s">
        <v>676</v>
      </c>
      <c r="B221" s="178">
        <v>38987</v>
      </c>
      <c r="C221" s="179">
        <v>17966.59</v>
      </c>
      <c r="D221" s="179"/>
      <c r="E221" s="181">
        <v>8.6416999999999994E-2</v>
      </c>
      <c r="F221" s="181">
        <v>8.8141999999999998E-2</v>
      </c>
      <c r="G221" s="181">
        <v>9.0046000000000001E-2</v>
      </c>
    </row>
    <row r="222" spans="1:7" ht="16.149999999999999">
      <c r="A222" s="177" t="s">
        <v>677</v>
      </c>
      <c r="B222" s="178">
        <v>39001</v>
      </c>
      <c r="C222" s="179">
        <v>15367.91</v>
      </c>
      <c r="D222" s="179"/>
      <c r="E222" s="181">
        <v>8.6416999999999994E-2</v>
      </c>
      <c r="F222" s="181">
        <v>8.8141999999999998E-2</v>
      </c>
      <c r="G222" s="181">
        <v>9.0046000000000001E-2</v>
      </c>
    </row>
    <row r="223" spans="1:7" ht="16.149999999999999">
      <c r="A223" s="177" t="s">
        <v>678</v>
      </c>
      <c r="B223" s="178">
        <v>39011</v>
      </c>
      <c r="C223" s="179">
        <v>21623.3</v>
      </c>
      <c r="D223" s="179"/>
      <c r="E223" s="181">
        <v>8.6416999999999994E-2</v>
      </c>
      <c r="F223" s="181">
        <v>8.8141999999999998E-2</v>
      </c>
      <c r="G223" s="181">
        <v>9.0046000000000001E-2</v>
      </c>
    </row>
    <row r="224" spans="1:7" ht="16.149999999999999">
      <c r="A224" s="177" t="s">
        <v>679</v>
      </c>
      <c r="B224" s="178">
        <v>39029</v>
      </c>
      <c r="C224" s="179">
        <v>44883.38</v>
      </c>
      <c r="D224" s="179"/>
      <c r="E224" s="181">
        <v>8.6368E-2</v>
      </c>
      <c r="F224" s="181">
        <v>8.8190000000000004E-2</v>
      </c>
      <c r="G224" s="181">
        <v>9.0020000000000003E-2</v>
      </c>
    </row>
    <row r="225" spans="1:7" ht="16.149999999999999">
      <c r="A225" s="177" t="s">
        <v>680</v>
      </c>
      <c r="B225" s="178">
        <v>39043</v>
      </c>
      <c r="C225" s="179">
        <v>60680.82</v>
      </c>
      <c r="D225" s="179"/>
      <c r="E225" s="181">
        <v>8.6416999999999994E-2</v>
      </c>
      <c r="F225" s="181">
        <v>8.8141999999999998E-2</v>
      </c>
      <c r="G225" s="181">
        <v>9.0046000000000001E-2</v>
      </c>
    </row>
    <row r="226" spans="1:7" ht="16.149999999999999">
      <c r="A226" s="177" t="s">
        <v>681</v>
      </c>
      <c r="B226" s="178">
        <v>39057</v>
      </c>
      <c r="C226" s="179">
        <v>37050.33</v>
      </c>
      <c r="D226" s="179"/>
      <c r="E226" s="181">
        <v>8.6416999999999994E-2</v>
      </c>
      <c r="F226" s="181">
        <v>8.8141999999999998E-2</v>
      </c>
      <c r="G226" s="181">
        <v>9.0046000000000001E-2</v>
      </c>
    </row>
    <row r="227" spans="1:7" ht="16.149999999999999">
      <c r="A227" s="177" t="s">
        <v>682</v>
      </c>
      <c r="B227" s="178">
        <v>39071</v>
      </c>
      <c r="C227" s="179">
        <v>16450.419999999998</v>
      </c>
      <c r="D227" s="179"/>
      <c r="E227" s="181">
        <v>8.6416999999999994E-2</v>
      </c>
      <c r="F227" s="181">
        <v>8.8141999999999998E-2</v>
      </c>
      <c r="G227" s="181">
        <v>9.0046000000000001E-2</v>
      </c>
    </row>
    <row r="228" spans="1:7" ht="16.149999999999999">
      <c r="A228" s="177" t="s">
        <v>683</v>
      </c>
      <c r="B228" s="178">
        <v>39081</v>
      </c>
      <c r="C228" s="179">
        <v>34271.89</v>
      </c>
      <c r="D228" s="179"/>
      <c r="E228" s="181">
        <v>8.6416999999999994E-2</v>
      </c>
      <c r="F228" s="181">
        <v>8.8141999999999998E-2</v>
      </c>
      <c r="G228" s="181">
        <v>9.0046000000000001E-2</v>
      </c>
    </row>
    <row r="229" spans="1:7" ht="16.149999999999999">
      <c r="A229" s="177" t="s">
        <v>684</v>
      </c>
      <c r="B229" s="178">
        <v>39099</v>
      </c>
      <c r="C229" s="179">
        <v>36088.07</v>
      </c>
      <c r="D229" s="179"/>
      <c r="E229" s="181">
        <v>8.6416999999999994E-2</v>
      </c>
      <c r="F229" s="181">
        <v>8.8141999999999998E-2</v>
      </c>
      <c r="G229" s="181">
        <v>9.0046000000000001E-2</v>
      </c>
    </row>
    <row r="230" spans="1:7" ht="16.149999999999999">
      <c r="A230" s="177" t="s">
        <v>685</v>
      </c>
      <c r="B230" s="178">
        <v>39113</v>
      </c>
      <c r="C230" s="179">
        <v>70358.36</v>
      </c>
      <c r="D230" s="179"/>
      <c r="E230" s="181">
        <v>8.6416999999999994E-2</v>
      </c>
      <c r="F230" s="181">
        <v>8.8141999999999998E-2</v>
      </c>
      <c r="G230" s="181">
        <v>9.0042999999999998E-2</v>
      </c>
    </row>
    <row r="231" spans="1:7" ht="16.149999999999999">
      <c r="A231" s="177" t="s">
        <v>686</v>
      </c>
      <c r="B231" s="178">
        <v>39127</v>
      </c>
      <c r="C231" s="179">
        <v>48419.519999999997</v>
      </c>
      <c r="D231" s="179"/>
      <c r="E231" s="181">
        <v>8.6416999999999994E-2</v>
      </c>
      <c r="F231" s="181">
        <v>8.8141999999999998E-2</v>
      </c>
      <c r="G231" s="181">
        <v>9.0045E-2</v>
      </c>
    </row>
    <row r="232" spans="1:7" ht="16.149999999999999">
      <c r="A232" s="177" t="s">
        <v>687</v>
      </c>
      <c r="B232" s="178">
        <v>39141</v>
      </c>
      <c r="C232" s="179">
        <v>37515.550000000003</v>
      </c>
      <c r="D232" s="179"/>
      <c r="E232" s="181">
        <v>8.6416999999999994E-2</v>
      </c>
      <c r="F232" s="181">
        <v>8.8141999999999998E-2</v>
      </c>
      <c r="G232" s="181">
        <v>9.0046000000000001E-2</v>
      </c>
    </row>
    <row r="233" spans="1:7" ht="16.149999999999999">
      <c r="A233" s="177" t="s">
        <v>688</v>
      </c>
      <c r="B233" s="178">
        <v>39155</v>
      </c>
      <c r="C233" s="179">
        <v>24821.43</v>
      </c>
      <c r="D233" s="179"/>
      <c r="E233" s="181" t="s">
        <v>464</v>
      </c>
      <c r="F233" s="181" t="s">
        <v>464</v>
      </c>
      <c r="G233" s="181">
        <v>9.0031E-2</v>
      </c>
    </row>
    <row r="234" spans="1:7" ht="16.149999999999999">
      <c r="A234" s="177" t="s">
        <v>689</v>
      </c>
      <c r="B234" s="178">
        <v>39169</v>
      </c>
      <c r="C234" s="179">
        <v>45259.22</v>
      </c>
      <c r="D234" s="179"/>
      <c r="E234" s="181">
        <v>8.6502999999999997E-2</v>
      </c>
      <c r="F234" s="181">
        <v>8.8249999999999995E-2</v>
      </c>
      <c r="G234" s="181">
        <v>9.0156E-2</v>
      </c>
    </row>
    <row r="235" spans="1:7" ht="16.149999999999999">
      <c r="A235" s="177" t="s">
        <v>690</v>
      </c>
      <c r="B235" s="178">
        <v>39183</v>
      </c>
      <c r="C235" s="179">
        <v>52094.66</v>
      </c>
      <c r="D235" s="179"/>
      <c r="E235" s="181">
        <v>8.6869000000000002E-2</v>
      </c>
      <c r="F235" s="181">
        <v>8.8668999999999998E-2</v>
      </c>
      <c r="G235" s="181">
        <v>9.0537999999999993E-2</v>
      </c>
    </row>
    <row r="236" spans="1:7" ht="16.149999999999999">
      <c r="A236" s="177" t="s">
        <v>691</v>
      </c>
      <c r="B236" s="178">
        <v>39197</v>
      </c>
      <c r="C236" s="179">
        <v>47802.52</v>
      </c>
      <c r="D236" s="179"/>
      <c r="E236" s="181">
        <v>8.6869000000000002E-2</v>
      </c>
      <c r="F236" s="181">
        <v>8.9016999999999999E-2</v>
      </c>
      <c r="G236" s="181">
        <v>9.0784000000000004E-2</v>
      </c>
    </row>
    <row r="237" spans="1:7" ht="16.149999999999999">
      <c r="A237" s="177" t="s">
        <v>692</v>
      </c>
      <c r="B237" s="178">
        <v>39211</v>
      </c>
      <c r="C237" s="179">
        <v>19515.830000000002</v>
      </c>
      <c r="D237" s="179"/>
      <c r="E237" s="181">
        <v>8.6869000000000002E-2</v>
      </c>
      <c r="F237" s="181">
        <v>8.9016999999999999E-2</v>
      </c>
      <c r="G237" s="181">
        <v>9.0910000000000005E-2</v>
      </c>
    </row>
    <row r="238" spans="1:7" ht="16.149999999999999">
      <c r="A238" s="177" t="s">
        <v>693</v>
      </c>
      <c r="B238" s="178">
        <v>39225</v>
      </c>
      <c r="C238" s="179">
        <v>7322.27</v>
      </c>
      <c r="D238" s="179"/>
      <c r="E238" s="181">
        <v>8.6869000000000002E-2</v>
      </c>
      <c r="F238" s="181">
        <v>8.9016999999999999E-2</v>
      </c>
      <c r="G238" s="181">
        <v>9.1021000000000005E-2</v>
      </c>
    </row>
    <row r="239" spans="1:7" ht="16.149999999999999">
      <c r="A239" s="177" t="s">
        <v>694</v>
      </c>
      <c r="B239" s="178">
        <v>39239</v>
      </c>
      <c r="C239" s="179">
        <v>42948.92</v>
      </c>
      <c r="D239" s="179"/>
      <c r="E239" s="181" t="s">
        <v>464</v>
      </c>
      <c r="F239" s="181">
        <v>8.9016999999999999E-2</v>
      </c>
      <c r="G239" s="181">
        <v>9.1243000000000005E-2</v>
      </c>
    </row>
    <row r="240" spans="1:7" ht="16.149999999999999">
      <c r="A240" s="177" t="s">
        <v>695</v>
      </c>
      <c r="B240" s="178">
        <v>39253</v>
      </c>
      <c r="C240" s="179">
        <v>7330.4</v>
      </c>
      <c r="D240" s="179"/>
      <c r="E240" s="181" t="s">
        <v>464</v>
      </c>
      <c r="F240" s="181" t="s">
        <v>464</v>
      </c>
      <c r="G240" s="181">
        <v>9.1596999999999998E-2</v>
      </c>
    </row>
    <row r="241" spans="1:7" ht="16.149999999999999">
      <c r="A241" s="177" t="s">
        <v>696</v>
      </c>
      <c r="B241" s="178">
        <v>39267</v>
      </c>
      <c r="C241" s="179">
        <v>56426.11</v>
      </c>
      <c r="D241" s="179"/>
      <c r="E241" s="181">
        <v>8.6869000000000002E-2</v>
      </c>
      <c r="F241" s="181">
        <v>8.9016999999999999E-2</v>
      </c>
      <c r="G241" s="181">
        <v>9.1596999999999998E-2</v>
      </c>
    </row>
    <row r="242" spans="1:7" ht="16.149999999999999">
      <c r="A242" s="177" t="s">
        <v>697</v>
      </c>
      <c r="B242" s="178">
        <v>39281</v>
      </c>
      <c r="C242" s="179">
        <v>52869.760000000002</v>
      </c>
      <c r="D242" s="179"/>
      <c r="E242" s="181" t="s">
        <v>464</v>
      </c>
      <c r="F242" s="181">
        <v>8.9016999999999999E-2</v>
      </c>
      <c r="G242" s="181">
        <v>9.1592999999999994E-2</v>
      </c>
    </row>
    <row r="243" spans="1:7" ht="16.149999999999999">
      <c r="A243" s="177" t="s">
        <v>698</v>
      </c>
      <c r="B243" s="178">
        <v>39295</v>
      </c>
      <c r="C243" s="179">
        <v>9644.5499999999993</v>
      </c>
      <c r="D243" s="179"/>
      <c r="E243" s="181" t="s">
        <v>464</v>
      </c>
      <c r="F243" s="181">
        <v>9.0986999999999998E-2</v>
      </c>
      <c r="G243" s="181">
        <v>9.3727000000000005E-2</v>
      </c>
    </row>
    <row r="244" spans="1:7" ht="16.149999999999999">
      <c r="A244" s="177" t="s">
        <v>699</v>
      </c>
      <c r="B244" s="178">
        <v>39309</v>
      </c>
      <c r="C244" s="179">
        <v>30734.26</v>
      </c>
      <c r="D244" s="179"/>
      <c r="E244" s="181">
        <v>9.0489E-2</v>
      </c>
      <c r="F244" s="181">
        <v>9.1425999999999993E-2</v>
      </c>
      <c r="G244" s="181">
        <v>9.3975000000000003E-2</v>
      </c>
    </row>
    <row r="245" spans="1:7" ht="16.149999999999999">
      <c r="A245" s="177" t="s">
        <v>700</v>
      </c>
      <c r="B245" s="178">
        <v>39323</v>
      </c>
      <c r="C245" s="179">
        <v>5485.8</v>
      </c>
      <c r="D245" s="179"/>
      <c r="E245" s="181" t="s">
        <v>464</v>
      </c>
      <c r="F245" s="181" t="s">
        <v>464</v>
      </c>
      <c r="G245" s="181">
        <v>9.3990000000000004E-2</v>
      </c>
    </row>
    <row r="246" spans="1:7" ht="16.149999999999999">
      <c r="A246" s="177" t="s">
        <v>701</v>
      </c>
      <c r="B246" s="178">
        <v>39337</v>
      </c>
      <c r="C246" s="179">
        <v>23058.65</v>
      </c>
      <c r="D246" s="179"/>
      <c r="E246" s="181" t="s">
        <v>464</v>
      </c>
      <c r="F246" s="181" t="s">
        <v>464</v>
      </c>
      <c r="G246" s="181">
        <v>9.3990000000000004E-2</v>
      </c>
    </row>
    <row r="247" spans="1:7" ht="16.149999999999999">
      <c r="A247" s="177" t="s">
        <v>702</v>
      </c>
      <c r="B247" s="178">
        <v>39351</v>
      </c>
      <c r="C247" s="179">
        <v>19383.16</v>
      </c>
      <c r="D247" s="179"/>
      <c r="E247" s="181" t="s">
        <v>464</v>
      </c>
      <c r="F247" s="181" t="s">
        <v>464</v>
      </c>
      <c r="G247" s="181">
        <v>9.3990000000000004E-2</v>
      </c>
    </row>
    <row r="248" spans="1:7" ht="16.149999999999999">
      <c r="A248" s="177" t="s">
        <v>703</v>
      </c>
      <c r="B248" s="178">
        <v>39365</v>
      </c>
      <c r="C248" s="179">
        <v>15497.11</v>
      </c>
      <c r="D248" s="179"/>
      <c r="E248" s="181" t="s">
        <v>464</v>
      </c>
      <c r="F248" s="181" t="s">
        <v>464</v>
      </c>
      <c r="G248" s="181">
        <v>9.3990000000000004E-2</v>
      </c>
    </row>
    <row r="249" spans="1:7" ht="16.149999999999999">
      <c r="A249" s="177" t="s">
        <v>704</v>
      </c>
      <c r="B249" s="178">
        <v>39379</v>
      </c>
      <c r="C249" s="179">
        <v>9366.7099999999991</v>
      </c>
      <c r="D249" s="179"/>
      <c r="E249" s="181" t="s">
        <v>464</v>
      </c>
      <c r="F249" s="181">
        <v>9.1425999999999993E-2</v>
      </c>
      <c r="G249" s="181">
        <v>9.3990000000000004E-2</v>
      </c>
    </row>
    <row r="250" spans="1:7" ht="16.149999999999999">
      <c r="A250" s="177" t="s">
        <v>705</v>
      </c>
      <c r="B250" s="178">
        <v>39393</v>
      </c>
      <c r="C250" s="179">
        <v>32230.74</v>
      </c>
      <c r="D250" s="179"/>
      <c r="E250" s="181" t="s">
        <v>464</v>
      </c>
      <c r="F250" s="181">
        <v>9.1425999999999993E-2</v>
      </c>
      <c r="G250" s="181">
        <v>9.3932000000000002E-2</v>
      </c>
    </row>
    <row r="251" spans="1:7" ht="16.149999999999999">
      <c r="A251" s="177" t="s">
        <v>706</v>
      </c>
      <c r="B251" s="178">
        <v>39407</v>
      </c>
      <c r="C251" s="179">
        <v>11458.84</v>
      </c>
      <c r="D251" s="179"/>
      <c r="E251" s="181" t="s">
        <v>467</v>
      </c>
      <c r="F251" s="181">
        <v>9.2083999999999999E-2</v>
      </c>
      <c r="G251" s="181">
        <v>9.3961000000000003E-2</v>
      </c>
    </row>
    <row r="252" spans="1:7" ht="16.149999999999999">
      <c r="A252" s="177" t="s">
        <v>707</v>
      </c>
      <c r="B252" s="178">
        <v>39421</v>
      </c>
      <c r="C252" s="179">
        <v>45158.400000000001</v>
      </c>
      <c r="D252" s="179"/>
      <c r="E252" s="181">
        <v>9.1070999999999999E-2</v>
      </c>
      <c r="F252" s="181">
        <v>9.2229000000000005E-2</v>
      </c>
      <c r="G252" s="181">
        <v>9.4058000000000003E-2</v>
      </c>
    </row>
    <row r="253" spans="1:7" ht="16.149999999999999">
      <c r="A253" s="177" t="s">
        <v>708</v>
      </c>
      <c r="B253" s="178">
        <v>39435</v>
      </c>
      <c r="C253" s="179">
        <v>6714.09</v>
      </c>
      <c r="D253" s="179"/>
      <c r="E253" s="181">
        <v>9.1213000000000002E-2</v>
      </c>
      <c r="F253" s="181">
        <v>9.2584E-2</v>
      </c>
      <c r="G253" s="181">
        <v>9.4428999999999999E-2</v>
      </c>
    </row>
    <row r="254" spans="1:7" ht="16.149999999999999">
      <c r="A254" s="177" t="s">
        <v>709</v>
      </c>
      <c r="B254" s="178">
        <v>39449</v>
      </c>
      <c r="C254" s="179">
        <v>23597.09</v>
      </c>
      <c r="D254" s="179"/>
      <c r="E254" s="181">
        <v>9.0941999999999995E-2</v>
      </c>
      <c r="F254" s="181">
        <v>9.2522999999999994E-2</v>
      </c>
      <c r="G254" s="181">
        <v>9.4370999999999997E-2</v>
      </c>
    </row>
    <row r="255" spans="1:7" ht="16.149999999999999">
      <c r="A255" s="177" t="s">
        <v>710</v>
      </c>
      <c r="B255" s="178">
        <v>39463</v>
      </c>
      <c r="C255" s="179">
        <v>7049.43</v>
      </c>
      <c r="D255" s="179"/>
      <c r="E255" s="181" t="s">
        <v>464</v>
      </c>
      <c r="F255" s="181">
        <v>9.2962000000000003E-2</v>
      </c>
      <c r="G255" s="181">
        <v>9.4492999999999994E-2</v>
      </c>
    </row>
    <row r="256" spans="1:7" ht="16.149999999999999">
      <c r="A256" s="177" t="s">
        <v>711</v>
      </c>
      <c r="B256" s="178">
        <v>39477</v>
      </c>
      <c r="C256" s="180" t="s">
        <v>467</v>
      </c>
      <c r="D256" s="180"/>
      <c r="E256" s="181" t="s">
        <v>464</v>
      </c>
      <c r="F256" s="181" t="s">
        <v>467</v>
      </c>
      <c r="G256" s="181" t="s">
        <v>467</v>
      </c>
    </row>
    <row r="257" spans="1:7" ht="16.149999999999999">
      <c r="A257" s="177" t="s">
        <v>712</v>
      </c>
      <c r="B257" s="178">
        <v>39491</v>
      </c>
      <c r="C257" s="179">
        <v>45576.88</v>
      </c>
      <c r="D257" s="179"/>
      <c r="E257" s="181">
        <v>9.3825000000000006E-2</v>
      </c>
      <c r="F257" s="181">
        <v>9.6141000000000004E-2</v>
      </c>
      <c r="G257" s="181">
        <v>9.8692000000000002E-2</v>
      </c>
    </row>
    <row r="258" spans="1:7" ht="16.149999999999999">
      <c r="A258" s="177" t="s">
        <v>713</v>
      </c>
      <c r="B258" s="178">
        <v>39505</v>
      </c>
      <c r="C258" s="179">
        <v>35434.699999999997</v>
      </c>
      <c r="D258" s="179"/>
      <c r="E258" s="181">
        <v>9.4567999999999999E-2</v>
      </c>
      <c r="F258" s="181">
        <v>9.7359000000000001E-2</v>
      </c>
      <c r="G258" s="181">
        <v>9.9907999999999997E-2</v>
      </c>
    </row>
    <row r="259" spans="1:7" ht="16.149999999999999">
      <c r="A259" s="177" t="s">
        <v>714</v>
      </c>
      <c r="B259" s="178">
        <v>39519</v>
      </c>
      <c r="C259" s="179">
        <v>28217.88</v>
      </c>
      <c r="D259" s="179"/>
      <c r="E259" s="181">
        <v>9.5475000000000004E-2</v>
      </c>
      <c r="F259" s="181">
        <v>9.8223000000000005E-2</v>
      </c>
      <c r="G259" s="181">
        <v>0.10077700000000001</v>
      </c>
    </row>
    <row r="260" spans="1:7" ht="16.149999999999999">
      <c r="A260" s="177" t="s">
        <v>715</v>
      </c>
      <c r="B260" s="178">
        <v>39533</v>
      </c>
      <c r="C260" s="183">
        <v>9.08</v>
      </c>
      <c r="D260" s="183"/>
      <c r="E260" s="181" t="s">
        <v>467</v>
      </c>
      <c r="F260" s="181" t="s">
        <v>467</v>
      </c>
      <c r="G260" s="181">
        <v>0.10123500000000001</v>
      </c>
    </row>
    <row r="261" spans="1:7" ht="16.149999999999999">
      <c r="A261" s="177" t="s">
        <v>716</v>
      </c>
      <c r="B261" s="178">
        <v>39547</v>
      </c>
      <c r="C261" s="179">
        <v>37677.86</v>
      </c>
      <c r="D261" s="179"/>
      <c r="E261" s="181">
        <v>9.5610000000000001E-2</v>
      </c>
      <c r="F261" s="181">
        <v>9.8685999999999996E-2</v>
      </c>
      <c r="G261" s="181">
        <v>0.10125099999999999</v>
      </c>
    </row>
    <row r="262" spans="1:7" ht="16.149999999999999">
      <c r="A262" s="177" t="s">
        <v>717</v>
      </c>
      <c r="B262" s="178">
        <v>39561</v>
      </c>
      <c r="C262" s="183">
        <v>516.94000000000005</v>
      </c>
      <c r="D262" s="183"/>
      <c r="E262" s="181" t="s">
        <v>467</v>
      </c>
      <c r="F262" s="181">
        <v>9.8685999999999996E-2</v>
      </c>
      <c r="G262" s="181">
        <v>0.101357</v>
      </c>
    </row>
    <row r="263" spans="1:7" ht="16.149999999999999">
      <c r="A263" s="177" t="s">
        <v>718</v>
      </c>
      <c r="B263" s="178">
        <v>39575</v>
      </c>
      <c r="C263" s="179">
        <v>29523.08</v>
      </c>
      <c r="D263" s="179"/>
      <c r="E263" s="181">
        <v>9.6679000000000001E-2</v>
      </c>
      <c r="F263" s="181">
        <v>9.8931000000000005E-2</v>
      </c>
      <c r="G263" s="181">
        <v>0.101715</v>
      </c>
    </row>
    <row r="264" spans="1:7" ht="16.149999999999999">
      <c r="A264" s="177" t="s">
        <v>719</v>
      </c>
      <c r="B264" s="178">
        <v>39589</v>
      </c>
      <c r="C264" s="179">
        <v>3505.35</v>
      </c>
      <c r="D264" s="179"/>
      <c r="E264" s="181">
        <v>9.9505999999999997E-2</v>
      </c>
      <c r="F264" s="181" t="s">
        <v>464</v>
      </c>
      <c r="G264" s="181">
        <v>0.103246</v>
      </c>
    </row>
    <row r="265" spans="1:7" ht="16.149999999999999">
      <c r="A265" s="177" t="s">
        <v>720</v>
      </c>
      <c r="B265" s="178">
        <v>39603</v>
      </c>
      <c r="C265" s="179">
        <v>63460.37</v>
      </c>
      <c r="D265" s="179"/>
      <c r="E265" s="181">
        <v>0.10976900000000001</v>
      </c>
      <c r="F265" s="181">
        <v>0.11189399999999999</v>
      </c>
      <c r="G265" s="181">
        <v>0.113931</v>
      </c>
    </row>
    <row r="266" spans="1:7" ht="16.149999999999999">
      <c r="A266" s="177" t="s">
        <v>721</v>
      </c>
      <c r="B266" s="178">
        <v>39617</v>
      </c>
      <c r="C266" s="179">
        <v>15198.29</v>
      </c>
      <c r="D266" s="179"/>
      <c r="E266" s="181">
        <v>0.113163</v>
      </c>
      <c r="F266" s="181">
        <v>0.11472300000000001</v>
      </c>
      <c r="G266" s="181">
        <v>0.116881</v>
      </c>
    </row>
    <row r="267" spans="1:7" ht="16.149999999999999">
      <c r="A267" s="177" t="s">
        <v>722</v>
      </c>
      <c r="B267" s="178">
        <v>39631</v>
      </c>
      <c r="C267" s="179">
        <v>76844.14</v>
      </c>
      <c r="D267" s="179"/>
      <c r="E267" s="181">
        <v>0.114512</v>
      </c>
      <c r="F267" s="181" t="s">
        <v>464</v>
      </c>
      <c r="G267" s="181">
        <v>0.117841</v>
      </c>
    </row>
    <row r="268" spans="1:7" ht="16.149999999999999">
      <c r="A268" s="177" t="s">
        <v>723</v>
      </c>
      <c r="B268" s="178">
        <v>39645</v>
      </c>
      <c r="C268" s="179">
        <v>52613.62</v>
      </c>
      <c r="D268" s="179"/>
      <c r="E268" s="181">
        <v>0.11652800000000001</v>
      </c>
      <c r="F268" s="181" t="s">
        <v>464</v>
      </c>
      <c r="G268" s="181">
        <v>0.118294</v>
      </c>
    </row>
    <row r="269" spans="1:7" ht="16.149999999999999">
      <c r="A269" s="177" t="s">
        <v>724</v>
      </c>
      <c r="B269" s="178">
        <v>39659</v>
      </c>
      <c r="C269" s="179">
        <v>39951.17</v>
      </c>
      <c r="D269" s="179"/>
      <c r="E269" s="181">
        <v>0.121688</v>
      </c>
      <c r="F269" s="181" t="s">
        <v>464</v>
      </c>
      <c r="G269" s="181" t="s">
        <v>467</v>
      </c>
    </row>
    <row r="270" spans="1:7" ht="16.149999999999999">
      <c r="A270" s="177" t="s">
        <v>725</v>
      </c>
      <c r="B270" s="178">
        <v>39673</v>
      </c>
      <c r="C270" s="179">
        <v>35999.61</v>
      </c>
      <c r="D270" s="179"/>
      <c r="E270" s="181">
        <v>0.12220499999999999</v>
      </c>
      <c r="F270" s="181" t="s">
        <v>464</v>
      </c>
      <c r="G270" s="181" t="s">
        <v>467</v>
      </c>
    </row>
    <row r="271" spans="1:7" ht="16.149999999999999">
      <c r="A271" s="177" t="s">
        <v>726</v>
      </c>
      <c r="B271" s="178">
        <v>39687</v>
      </c>
      <c r="C271" s="179">
        <v>34712.03</v>
      </c>
      <c r="D271" s="179"/>
      <c r="E271" s="181">
        <v>0.123874</v>
      </c>
      <c r="F271" s="181" t="s">
        <v>464</v>
      </c>
      <c r="G271" s="181" t="s">
        <v>464</v>
      </c>
    </row>
    <row r="272" spans="1:7" ht="16.149999999999999">
      <c r="A272" s="177" t="s">
        <v>727</v>
      </c>
      <c r="B272" s="178">
        <v>39701</v>
      </c>
      <c r="C272" s="179">
        <v>14759.57</v>
      </c>
      <c r="D272" s="179"/>
      <c r="E272" s="181">
        <v>0.12563099999999999</v>
      </c>
      <c r="F272" s="181" t="s">
        <v>467</v>
      </c>
      <c r="G272" s="181" t="s">
        <v>464</v>
      </c>
    </row>
    <row r="273" spans="1:7" ht="16.149999999999999">
      <c r="A273" s="177" t="s">
        <v>728</v>
      </c>
      <c r="B273" s="178">
        <v>39715</v>
      </c>
      <c r="C273" s="179">
        <v>34264.949999999997</v>
      </c>
      <c r="D273" s="179"/>
      <c r="E273" s="181">
        <v>0.12563099999999999</v>
      </c>
      <c r="F273" s="181">
        <v>0.12687599999999999</v>
      </c>
      <c r="G273" s="181" t="s">
        <v>467</v>
      </c>
    </row>
    <row r="274" spans="1:7" ht="16.149999999999999">
      <c r="A274" s="177" t="s">
        <v>729</v>
      </c>
      <c r="B274" s="178">
        <v>39729</v>
      </c>
      <c r="C274" s="179">
        <v>51111.02</v>
      </c>
      <c r="D274" s="179"/>
      <c r="E274" s="181">
        <v>0.12551799999999999</v>
      </c>
      <c r="F274" s="181" t="s">
        <v>467</v>
      </c>
      <c r="G274" s="181" t="s">
        <v>464</v>
      </c>
    </row>
    <row r="275" spans="1:7" ht="16.149999999999999">
      <c r="A275" s="177" t="s">
        <v>730</v>
      </c>
      <c r="B275" s="178">
        <v>39743</v>
      </c>
      <c r="C275" s="179">
        <v>60782.879999999997</v>
      </c>
      <c r="D275" s="179"/>
      <c r="E275" s="181">
        <v>0.12562499999999999</v>
      </c>
      <c r="F275" s="181">
        <v>0.12664900000000001</v>
      </c>
      <c r="G275" s="181">
        <v>0.12787299999999999</v>
      </c>
    </row>
    <row r="276" spans="1:7" ht="16.149999999999999">
      <c r="A276" s="177" t="s">
        <v>731</v>
      </c>
      <c r="B276" s="178">
        <v>39757</v>
      </c>
      <c r="C276" s="179">
        <v>51540.01</v>
      </c>
      <c r="D276" s="179"/>
      <c r="E276" s="181">
        <v>0.12906599999999999</v>
      </c>
      <c r="F276" s="181" t="s">
        <v>467</v>
      </c>
      <c r="G276" s="181" t="s">
        <v>467</v>
      </c>
    </row>
    <row r="277" spans="1:7" ht="16.149999999999999">
      <c r="A277" s="177" t="s">
        <v>732</v>
      </c>
      <c r="B277" s="178">
        <v>39771</v>
      </c>
      <c r="C277" s="179">
        <v>103467.68</v>
      </c>
      <c r="D277" s="179"/>
      <c r="E277" s="181">
        <v>0.136934</v>
      </c>
      <c r="F277" s="181">
        <v>0.14010800000000001</v>
      </c>
      <c r="G277" s="181" t="s">
        <v>467</v>
      </c>
    </row>
    <row r="278" spans="1:7" ht="16.149999999999999">
      <c r="A278" s="177" t="s">
        <v>733</v>
      </c>
      <c r="B278" s="178">
        <v>39785</v>
      </c>
      <c r="C278" s="179">
        <v>81473.36</v>
      </c>
      <c r="D278" s="179"/>
      <c r="E278" s="181">
        <v>0.138437</v>
      </c>
      <c r="F278" s="181">
        <v>0.14010800000000001</v>
      </c>
      <c r="G278" s="181" t="s">
        <v>467</v>
      </c>
    </row>
    <row r="279" spans="1:7" ht="16.149999999999999">
      <c r="A279" s="177" t="s">
        <v>734</v>
      </c>
      <c r="B279" s="178">
        <v>39799</v>
      </c>
      <c r="C279" s="179">
        <v>70543.289999999994</v>
      </c>
      <c r="D279" s="179"/>
      <c r="E279" s="181">
        <v>0.13839699999999999</v>
      </c>
      <c r="F279" s="181">
        <v>0.14010800000000001</v>
      </c>
      <c r="G279" s="181" t="s">
        <v>464</v>
      </c>
    </row>
    <row r="280" spans="1:7" ht="16.149999999999999">
      <c r="A280" s="177" t="s">
        <v>735</v>
      </c>
      <c r="B280" s="178">
        <v>39813</v>
      </c>
      <c r="C280" s="179">
        <v>67795.02</v>
      </c>
      <c r="D280" s="179"/>
      <c r="E280" s="181">
        <v>0.13847200000000001</v>
      </c>
      <c r="F280" s="181">
        <v>0.139959</v>
      </c>
      <c r="G280" s="181">
        <v>0.14252899999999999</v>
      </c>
    </row>
    <row r="281" spans="1:7" ht="16.149999999999999">
      <c r="A281" s="177" t="s">
        <v>736</v>
      </c>
      <c r="B281" s="178">
        <v>39827</v>
      </c>
      <c r="C281" s="179">
        <v>79356.69</v>
      </c>
      <c r="D281" s="179"/>
      <c r="E281" s="181">
        <v>0.138545</v>
      </c>
      <c r="F281" s="181">
        <v>0.140093</v>
      </c>
      <c r="G281" s="181">
        <v>0.14260900000000001</v>
      </c>
    </row>
    <row r="282" spans="1:7" ht="16.149999999999999">
      <c r="A282" s="177" t="s">
        <v>737</v>
      </c>
      <c r="B282" s="178">
        <v>39841</v>
      </c>
      <c r="C282" s="179">
        <v>79504.929999999993</v>
      </c>
      <c r="D282" s="179"/>
      <c r="E282" s="181">
        <v>0.13733799999999999</v>
      </c>
      <c r="F282" s="181">
        <v>0.139958</v>
      </c>
      <c r="G282" s="181">
        <v>0.14158899999999999</v>
      </c>
    </row>
    <row r="283" spans="1:7" ht="16.149999999999999">
      <c r="A283" s="177" t="s">
        <v>738</v>
      </c>
      <c r="B283" s="178">
        <v>39855</v>
      </c>
      <c r="C283" s="179">
        <v>155220.29999999999</v>
      </c>
      <c r="D283" s="179"/>
      <c r="E283" s="181">
        <v>0.13455300000000001</v>
      </c>
      <c r="F283" s="181">
        <v>0.13735700000000001</v>
      </c>
      <c r="G283" s="181">
        <v>0.138408</v>
      </c>
    </row>
    <row r="284" spans="1:7" ht="16.149999999999999">
      <c r="A284" s="177" t="s">
        <v>739</v>
      </c>
      <c r="B284" s="178">
        <v>39869</v>
      </c>
      <c r="C284" s="179">
        <v>124923.53</v>
      </c>
      <c r="D284" s="179"/>
      <c r="E284" s="181">
        <v>0.12562899999999999</v>
      </c>
      <c r="F284" s="181">
        <v>0.12959999999999999</v>
      </c>
      <c r="G284" s="181">
        <v>0.129881</v>
      </c>
    </row>
    <row r="285" spans="1:7" ht="16.149999999999999">
      <c r="A285" s="177" t="s">
        <v>740</v>
      </c>
      <c r="B285" s="178">
        <v>39883</v>
      </c>
      <c r="C285" s="179">
        <v>111094.24</v>
      </c>
      <c r="D285" s="179"/>
      <c r="E285" s="181">
        <v>0.11477900000000001</v>
      </c>
      <c r="F285" s="181">
        <v>0.116684</v>
      </c>
      <c r="G285" s="181">
        <v>0.117781</v>
      </c>
    </row>
    <row r="286" spans="1:7" ht="16.149999999999999">
      <c r="A286" s="177" t="s">
        <v>741</v>
      </c>
      <c r="B286" s="178">
        <v>39897</v>
      </c>
      <c r="C286" s="179">
        <v>81395.94</v>
      </c>
      <c r="D286" s="179"/>
      <c r="E286" s="181">
        <v>0.116498</v>
      </c>
      <c r="F286" s="181">
        <v>0.11766500000000001</v>
      </c>
      <c r="G286" s="181">
        <v>0.118475</v>
      </c>
    </row>
    <row r="287" spans="1:7" ht="16.149999999999999">
      <c r="A287" s="177" t="s">
        <v>742</v>
      </c>
      <c r="B287" s="178">
        <v>39911</v>
      </c>
      <c r="C287" s="179">
        <v>63107.59</v>
      </c>
      <c r="D287" s="179"/>
      <c r="E287" s="181">
        <v>0.125336</v>
      </c>
      <c r="F287" s="181">
        <v>0.127641</v>
      </c>
      <c r="G287" s="181">
        <v>0.129687</v>
      </c>
    </row>
    <row r="288" spans="1:7" ht="16.149999999999999">
      <c r="A288" s="177" t="s">
        <v>743</v>
      </c>
      <c r="B288" s="178">
        <v>39925</v>
      </c>
      <c r="C288" s="179">
        <v>64724.62</v>
      </c>
      <c r="D288" s="179"/>
      <c r="E288" s="181">
        <v>0.12889600000000001</v>
      </c>
      <c r="F288" s="181">
        <v>0.129524</v>
      </c>
      <c r="G288" s="181">
        <v>0.131351</v>
      </c>
    </row>
    <row r="289" spans="1:7" ht="16.149999999999999">
      <c r="A289" s="177" t="s">
        <v>744</v>
      </c>
      <c r="B289" s="178">
        <v>39939</v>
      </c>
      <c r="C289" s="179">
        <v>71772.240000000005</v>
      </c>
      <c r="D289" s="179"/>
      <c r="E289" s="181">
        <v>0.12967799999999999</v>
      </c>
      <c r="F289" s="181">
        <v>0.131105</v>
      </c>
      <c r="G289" s="181">
        <v>0.13229399999999999</v>
      </c>
    </row>
    <row r="290" spans="1:7" ht="16.149999999999999">
      <c r="A290" s="177" t="s">
        <v>745</v>
      </c>
      <c r="B290" s="178">
        <v>39953</v>
      </c>
      <c r="C290" s="179">
        <v>29489.02</v>
      </c>
      <c r="D290" s="179"/>
      <c r="E290" s="181" t="s">
        <v>467</v>
      </c>
      <c r="F290" s="181">
        <v>0.13142300000000001</v>
      </c>
      <c r="G290" s="181">
        <v>0.13264799999999999</v>
      </c>
    </row>
    <row r="291" spans="1:7" ht="16.149999999999999">
      <c r="A291" s="177" t="s">
        <v>746</v>
      </c>
      <c r="B291" s="178">
        <v>39967</v>
      </c>
      <c r="C291" s="179">
        <v>53578.79</v>
      </c>
      <c r="D291" s="179"/>
      <c r="E291" s="181" t="s">
        <v>467</v>
      </c>
      <c r="F291" s="181">
        <v>0.13139500000000001</v>
      </c>
      <c r="G291" s="181">
        <v>0.132297</v>
      </c>
    </row>
    <row r="292" spans="1:7" ht="16.149999999999999">
      <c r="A292" s="177" t="s">
        <v>747</v>
      </c>
      <c r="B292" s="178">
        <v>39981</v>
      </c>
      <c r="C292" s="179">
        <v>56979.58</v>
      </c>
      <c r="D292" s="179"/>
      <c r="E292" s="181" t="s">
        <v>467</v>
      </c>
      <c r="F292" s="181">
        <v>0.120059</v>
      </c>
      <c r="G292" s="181">
        <v>0.120882</v>
      </c>
    </row>
    <row r="293" spans="1:7" ht="16.149999999999999">
      <c r="A293" s="177" t="s">
        <v>748</v>
      </c>
      <c r="B293" s="178">
        <v>40009</v>
      </c>
      <c r="C293" s="179">
        <v>58349.25</v>
      </c>
      <c r="D293" s="179"/>
      <c r="E293" s="181">
        <v>0.113064</v>
      </c>
      <c r="F293" s="181">
        <v>0.113847</v>
      </c>
      <c r="G293" s="181">
        <v>0.114703</v>
      </c>
    </row>
    <row r="294" spans="1:7" ht="16.149999999999999">
      <c r="A294" s="177" t="s">
        <v>749</v>
      </c>
      <c r="B294" s="178">
        <v>40023</v>
      </c>
      <c r="C294" s="179">
        <v>44266.78</v>
      </c>
      <c r="D294" s="179"/>
      <c r="E294" s="181" t="s">
        <v>467</v>
      </c>
      <c r="F294" s="181" t="s">
        <v>467</v>
      </c>
      <c r="G294" s="181">
        <v>0.11751399999999999</v>
      </c>
    </row>
    <row r="295" spans="1:7" ht="16.149999999999999">
      <c r="A295" s="177" t="s">
        <v>750</v>
      </c>
      <c r="B295" s="178">
        <v>40037</v>
      </c>
      <c r="C295" s="179">
        <v>79908.160000000003</v>
      </c>
      <c r="D295" s="179"/>
      <c r="E295" s="181" t="s">
        <v>467</v>
      </c>
      <c r="F295" s="181" t="s">
        <v>467</v>
      </c>
      <c r="G295" s="181">
        <v>0.12162000000000001</v>
      </c>
    </row>
    <row r="296" spans="1:7" ht="16.149999999999999">
      <c r="A296" s="177" t="s">
        <v>751</v>
      </c>
      <c r="B296" s="178">
        <v>40051</v>
      </c>
      <c r="C296" s="179">
        <v>39622.53</v>
      </c>
      <c r="D296" s="179"/>
      <c r="E296" s="181">
        <v>0.123603</v>
      </c>
      <c r="F296" s="181">
        <v>0.12442499999999999</v>
      </c>
      <c r="G296" s="181">
        <v>0.12420399999999999</v>
      </c>
    </row>
    <row r="297" spans="1:7" ht="16.149999999999999">
      <c r="A297" s="177" t="s">
        <v>752</v>
      </c>
      <c r="B297" s="178">
        <v>40065</v>
      </c>
      <c r="C297" s="179">
        <v>51657.2</v>
      </c>
      <c r="D297" s="179"/>
      <c r="E297" s="181">
        <v>0.124347</v>
      </c>
      <c r="F297" s="181">
        <v>0.12578500000000001</v>
      </c>
      <c r="G297" s="181">
        <v>0.124628</v>
      </c>
    </row>
    <row r="298" spans="1:7" ht="16.149999999999999">
      <c r="A298" s="177" t="s">
        <v>753</v>
      </c>
      <c r="B298" s="178">
        <v>40081</v>
      </c>
      <c r="C298" s="179">
        <v>59418.83</v>
      </c>
      <c r="D298" s="179"/>
      <c r="E298" s="181">
        <v>0.12442300000000001</v>
      </c>
      <c r="F298" s="181">
        <v>0.12581600000000001</v>
      </c>
      <c r="G298" s="181">
        <v>0.124751</v>
      </c>
    </row>
    <row r="299" spans="1:7" ht="16.149999999999999">
      <c r="A299" s="177" t="s">
        <v>754</v>
      </c>
      <c r="B299" s="178">
        <v>40093</v>
      </c>
      <c r="C299" s="179">
        <v>23392.02</v>
      </c>
      <c r="D299" s="179"/>
      <c r="E299" s="181">
        <v>0.124158</v>
      </c>
      <c r="F299" s="181">
        <v>0.12573799999999999</v>
      </c>
      <c r="G299" s="181">
        <v>0.125804</v>
      </c>
    </row>
    <row r="300" spans="1:7" ht="16.149999999999999">
      <c r="A300" s="177" t="s">
        <v>755</v>
      </c>
      <c r="B300" s="178">
        <v>40107</v>
      </c>
      <c r="C300" s="179">
        <v>21940.45</v>
      </c>
      <c r="D300" s="179"/>
      <c r="E300" s="181">
        <v>0.124385</v>
      </c>
      <c r="F300" s="181">
        <v>0.125942</v>
      </c>
      <c r="G300" s="181">
        <v>0.12609100000000001</v>
      </c>
    </row>
    <row r="301" spans="1:7" ht="16.149999999999999">
      <c r="A301" s="177" t="s">
        <v>756</v>
      </c>
      <c r="B301" s="178">
        <v>40121</v>
      </c>
      <c r="C301" s="179">
        <v>20788.11</v>
      </c>
      <c r="D301" s="179"/>
      <c r="E301" s="181">
        <v>0.124252</v>
      </c>
      <c r="F301" s="181">
        <v>0.12551699999999999</v>
      </c>
      <c r="G301" s="181">
        <v>0.12520200000000001</v>
      </c>
    </row>
    <row r="302" spans="1:7" ht="16.149999999999999">
      <c r="A302" s="177" t="s">
        <v>757</v>
      </c>
      <c r="B302" s="178">
        <v>40135</v>
      </c>
      <c r="C302" s="179">
        <v>24871.09</v>
      </c>
      <c r="D302" s="179"/>
      <c r="E302" s="181">
        <v>0.122873</v>
      </c>
      <c r="F302" s="181">
        <v>0.123222</v>
      </c>
      <c r="G302" s="181">
        <v>0.121916</v>
      </c>
    </row>
    <row r="303" spans="1:7" ht="16.149999999999999">
      <c r="A303" s="177" t="s">
        <v>758</v>
      </c>
      <c r="B303" s="178">
        <v>40149</v>
      </c>
      <c r="C303" s="179">
        <v>14601.76</v>
      </c>
      <c r="D303" s="179"/>
      <c r="E303" s="181">
        <v>0.121432</v>
      </c>
      <c r="F303" s="181">
        <v>0.121514</v>
      </c>
      <c r="G303" s="181">
        <v>0.120903</v>
      </c>
    </row>
    <row r="304" spans="1:7" ht="16.149999999999999">
      <c r="A304" s="177" t="s">
        <v>759</v>
      </c>
      <c r="B304" s="178">
        <v>40163</v>
      </c>
      <c r="C304" s="179">
        <v>26138.09</v>
      </c>
      <c r="D304" s="179"/>
      <c r="E304" s="181">
        <v>0.12142500000000001</v>
      </c>
      <c r="F304" s="181">
        <v>0.122184</v>
      </c>
      <c r="G304" s="181">
        <v>0.12191299999999999</v>
      </c>
    </row>
    <row r="305" spans="1:7" ht="16.149999999999999">
      <c r="A305" s="177" t="s">
        <v>760</v>
      </c>
      <c r="B305" s="178">
        <v>40177</v>
      </c>
      <c r="C305" s="179">
        <v>15954.3</v>
      </c>
      <c r="D305" s="179"/>
      <c r="E305" s="181">
        <v>0.120577</v>
      </c>
      <c r="F305" s="181">
        <v>0.12100900000000001</v>
      </c>
      <c r="G305" s="181">
        <v>0.120905</v>
      </c>
    </row>
    <row r="306" spans="1:7" ht="16.149999999999999">
      <c r="A306" s="177" t="s">
        <v>761</v>
      </c>
      <c r="B306" s="178">
        <v>40191</v>
      </c>
      <c r="C306" s="179">
        <v>58720.82</v>
      </c>
      <c r="D306" s="179"/>
      <c r="E306" s="181">
        <v>0.119201</v>
      </c>
      <c r="F306" s="181">
        <v>0.120283</v>
      </c>
      <c r="G306" s="181">
        <v>0.12015000000000001</v>
      </c>
    </row>
    <row r="307" spans="1:7" ht="16.149999999999999">
      <c r="A307" s="177" t="s">
        <v>762</v>
      </c>
      <c r="B307" s="178">
        <v>40205</v>
      </c>
      <c r="C307" s="179">
        <v>29852.61</v>
      </c>
      <c r="D307" s="179"/>
      <c r="E307" s="181">
        <v>0.118726</v>
      </c>
      <c r="F307" s="181">
        <v>0.11897000000000001</v>
      </c>
      <c r="G307" s="181">
        <v>0.11978900000000001</v>
      </c>
    </row>
    <row r="308" spans="1:7" ht="16.149999999999999">
      <c r="A308" s="177" t="s">
        <v>763</v>
      </c>
      <c r="B308" s="178">
        <v>40219</v>
      </c>
      <c r="C308" s="179">
        <v>61780.54</v>
      </c>
      <c r="D308" s="179"/>
      <c r="E308" s="181">
        <v>0.119159</v>
      </c>
      <c r="F308" s="181">
        <v>0.120196</v>
      </c>
      <c r="G308" s="181">
        <v>0.120506</v>
      </c>
    </row>
    <row r="309" spans="1:7" ht="16.149999999999999">
      <c r="A309" s="177" t="s">
        <v>764</v>
      </c>
      <c r="B309" s="178">
        <v>40233</v>
      </c>
      <c r="C309" s="179">
        <v>108618.66</v>
      </c>
      <c r="D309" s="179"/>
      <c r="E309" s="181">
        <v>0.121652</v>
      </c>
      <c r="F309" s="181">
        <v>0.12214999999999999</v>
      </c>
      <c r="G309" s="181">
        <v>0.122697</v>
      </c>
    </row>
    <row r="310" spans="1:7" ht="16.149999999999999">
      <c r="A310" s="177" t="s">
        <v>765</v>
      </c>
      <c r="B310" s="178">
        <v>40247</v>
      </c>
      <c r="C310" s="179">
        <v>85850.73</v>
      </c>
      <c r="D310" s="179"/>
      <c r="E310" s="181">
        <v>0.121841</v>
      </c>
      <c r="F310" s="181">
        <v>0.123</v>
      </c>
      <c r="G310" s="181">
        <v>0.12360699999999999</v>
      </c>
    </row>
    <row r="311" spans="1:7" ht="16.149999999999999">
      <c r="A311" s="177" t="s">
        <v>766</v>
      </c>
      <c r="B311" s="178">
        <v>40261</v>
      </c>
      <c r="C311" s="179">
        <v>87547.46</v>
      </c>
      <c r="D311" s="179"/>
      <c r="E311" s="181">
        <v>0.12195400000000001</v>
      </c>
      <c r="F311" s="181">
        <v>0.123351</v>
      </c>
      <c r="G311" s="181">
        <v>0.12357799999999999</v>
      </c>
    </row>
    <row r="312" spans="1:7" ht="16.149999999999999">
      <c r="A312" s="177" t="s">
        <v>767</v>
      </c>
      <c r="B312" s="178">
        <v>40275</v>
      </c>
      <c r="C312" s="179">
        <v>71435.990000000005</v>
      </c>
      <c r="D312" s="179"/>
      <c r="E312" s="181">
        <v>0.12094199999999999</v>
      </c>
      <c r="F312" s="181">
        <v>0.122374</v>
      </c>
      <c r="G312" s="181">
        <v>0.123041</v>
      </c>
    </row>
    <row r="313" spans="1:7" ht="16.149999999999999">
      <c r="A313" s="177" t="s">
        <v>768</v>
      </c>
      <c r="B313" s="178">
        <v>40289</v>
      </c>
      <c r="C313" s="179">
        <v>84065.07</v>
      </c>
      <c r="D313" s="179"/>
      <c r="E313" s="181">
        <v>0.121397</v>
      </c>
      <c r="F313" s="181">
        <v>0.122656</v>
      </c>
      <c r="G313" s="181">
        <v>0.123374</v>
      </c>
    </row>
    <row r="314" spans="1:7" ht="16.149999999999999">
      <c r="A314" s="177" t="s">
        <v>769</v>
      </c>
      <c r="B314" s="178">
        <v>40303</v>
      </c>
      <c r="C314" s="179">
        <v>80868.509999999995</v>
      </c>
      <c r="D314" s="179"/>
      <c r="E314" s="181">
        <v>0.119604</v>
      </c>
      <c r="F314" s="181">
        <v>0.121332</v>
      </c>
      <c r="G314" s="181">
        <v>0.122076</v>
      </c>
    </row>
    <row r="315" spans="1:7" ht="16.149999999999999">
      <c r="A315" s="177" t="s">
        <v>770</v>
      </c>
      <c r="B315" s="178">
        <v>40317</v>
      </c>
      <c r="C315" s="179">
        <v>77146.929999999993</v>
      </c>
      <c r="D315" s="179"/>
      <c r="E315" s="181">
        <v>0.118796</v>
      </c>
      <c r="F315" s="181">
        <v>0.12088400000000001</v>
      </c>
      <c r="G315" s="181">
        <v>0.121686</v>
      </c>
    </row>
    <row r="316" spans="1:7" ht="16.149999999999999">
      <c r="A316" s="177" t="s">
        <v>771</v>
      </c>
      <c r="B316" s="178">
        <v>40331</v>
      </c>
      <c r="C316" s="179">
        <v>94147.89</v>
      </c>
      <c r="D316" s="179"/>
      <c r="E316" s="181">
        <v>0.119898</v>
      </c>
      <c r="F316" s="181">
        <v>0.121673</v>
      </c>
      <c r="G316" s="181">
        <v>0.123018</v>
      </c>
    </row>
    <row r="317" spans="1:7" ht="16.149999999999999">
      <c r="A317" s="177" t="s">
        <v>772</v>
      </c>
      <c r="B317" s="178">
        <v>40345</v>
      </c>
      <c r="C317" s="179">
        <v>121821.02</v>
      </c>
      <c r="D317" s="179"/>
      <c r="E317" s="181">
        <v>0.120591</v>
      </c>
      <c r="F317" s="181">
        <v>0.12270499999999999</v>
      </c>
      <c r="G317" s="181">
        <v>0.123809</v>
      </c>
    </row>
    <row r="318" spans="1:7" ht="16.149999999999999">
      <c r="A318" s="177" t="s">
        <v>773</v>
      </c>
      <c r="B318" s="178">
        <v>40373</v>
      </c>
      <c r="C318" s="179">
        <v>109716.23</v>
      </c>
      <c r="D318" s="179"/>
      <c r="E318" s="181">
        <v>0.120939</v>
      </c>
      <c r="F318" s="181">
        <v>0.123165</v>
      </c>
      <c r="G318" s="181">
        <v>0.12436700000000001</v>
      </c>
    </row>
    <row r="319" spans="1:7" ht="16.149999999999999">
      <c r="A319" s="177" t="s">
        <v>774</v>
      </c>
      <c r="B319" s="178">
        <v>40387</v>
      </c>
      <c r="C319" s="179">
        <v>125137.18</v>
      </c>
      <c r="D319" s="179"/>
      <c r="E319" s="181">
        <v>0.120841</v>
      </c>
      <c r="F319" s="181">
        <v>0.12334000000000001</v>
      </c>
      <c r="G319" s="181">
        <v>0.124483</v>
      </c>
    </row>
    <row r="320" spans="1:7" ht="16.149999999999999">
      <c r="A320" s="177" t="s">
        <v>775</v>
      </c>
      <c r="B320" s="178">
        <v>40401</v>
      </c>
      <c r="C320" s="179">
        <v>118519.14</v>
      </c>
      <c r="D320" s="179"/>
      <c r="E320" s="181">
        <v>0.12446400000000001</v>
      </c>
      <c r="F320" s="181">
        <v>0.12649099999999999</v>
      </c>
      <c r="G320" s="181">
        <v>0.12784499999999999</v>
      </c>
    </row>
    <row r="321" spans="1:7" ht="16.149999999999999">
      <c r="A321" s="177" t="s">
        <v>776</v>
      </c>
      <c r="B321" s="178">
        <v>40415</v>
      </c>
      <c r="C321" s="179">
        <v>91556.98</v>
      </c>
      <c r="D321" s="179"/>
      <c r="E321" s="181">
        <v>0.12507599999999999</v>
      </c>
      <c r="F321" s="181">
        <v>0.12651200000000001</v>
      </c>
      <c r="G321" s="181">
        <v>0.12784599999999999</v>
      </c>
    </row>
    <row r="322" spans="1:7" ht="16.149999999999999">
      <c r="A322" s="177" t="s">
        <v>777</v>
      </c>
      <c r="B322" s="178">
        <v>40429</v>
      </c>
      <c r="C322" s="179">
        <v>81176.34</v>
      </c>
      <c r="D322" s="179"/>
      <c r="E322" s="181">
        <v>0.12545000000000001</v>
      </c>
      <c r="F322" s="181">
        <v>0.12689900000000001</v>
      </c>
      <c r="G322" s="181">
        <v>0.12787200000000001</v>
      </c>
    </row>
    <row r="323" spans="1:7" ht="16.149999999999999">
      <c r="A323" s="177" t="s">
        <v>778</v>
      </c>
      <c r="B323" s="178">
        <v>40443</v>
      </c>
      <c r="C323" s="179">
        <v>60752.480000000003</v>
      </c>
      <c r="D323" s="179"/>
      <c r="E323" s="181">
        <v>0.12688099999999999</v>
      </c>
      <c r="F323" s="181">
        <v>0.12822600000000001</v>
      </c>
      <c r="G323" s="181" t="s">
        <v>467</v>
      </c>
    </row>
    <row r="324" spans="1:7" ht="16.149999999999999">
      <c r="A324" s="177" t="s">
        <v>779</v>
      </c>
      <c r="B324" s="178">
        <v>40457</v>
      </c>
      <c r="C324" s="179">
        <v>90255.92</v>
      </c>
      <c r="D324" s="179"/>
      <c r="E324" s="181">
        <v>0.128273</v>
      </c>
      <c r="F324" s="181">
        <v>0.130719</v>
      </c>
      <c r="G324" s="181">
        <v>0.13217499999999999</v>
      </c>
    </row>
    <row r="325" spans="1:7" ht="16.149999999999999">
      <c r="A325" s="177" t="s">
        <v>780</v>
      </c>
      <c r="B325" s="178">
        <v>40471</v>
      </c>
      <c r="C325" s="179">
        <v>127822.74</v>
      </c>
      <c r="D325" s="179"/>
      <c r="E325" s="181">
        <v>0.12773300000000001</v>
      </c>
      <c r="F325" s="181">
        <v>0.13078500000000001</v>
      </c>
      <c r="G325" s="181" t="s">
        <v>467</v>
      </c>
    </row>
    <row r="326" spans="1:7" ht="16.149999999999999">
      <c r="A326" s="177" t="s">
        <v>781</v>
      </c>
      <c r="B326" s="178">
        <v>40485</v>
      </c>
      <c r="C326" s="179">
        <v>159140.03</v>
      </c>
      <c r="D326" s="179"/>
      <c r="E326" s="181">
        <v>0.127468</v>
      </c>
      <c r="F326" s="181">
        <v>0.13109899999999999</v>
      </c>
      <c r="G326" s="181">
        <v>0.132353</v>
      </c>
    </row>
    <row r="327" spans="1:7" ht="16.149999999999999">
      <c r="A327" s="177" t="s">
        <v>782</v>
      </c>
      <c r="B327" s="178">
        <v>40497</v>
      </c>
      <c r="C327" s="179">
        <v>56752.85</v>
      </c>
      <c r="D327" s="179"/>
      <c r="E327" s="181">
        <v>0.12812399999999999</v>
      </c>
      <c r="F327" s="181">
        <v>0.13183300000000001</v>
      </c>
      <c r="G327" s="181">
        <v>0.13303699999999999</v>
      </c>
    </row>
    <row r="328" spans="1:7" ht="16.149999999999999">
      <c r="A328" s="177" t="s">
        <v>783</v>
      </c>
      <c r="B328" s="178">
        <v>40513</v>
      </c>
      <c r="C328" s="179">
        <v>125597.8</v>
      </c>
      <c r="D328" s="179"/>
      <c r="E328" s="181">
        <v>0.13100400000000001</v>
      </c>
      <c r="F328" s="181">
        <v>0.13370099999999999</v>
      </c>
      <c r="G328" s="181">
        <v>0.136548</v>
      </c>
    </row>
    <row r="329" spans="1:7" ht="16.149999999999999">
      <c r="A329" s="177" t="s">
        <v>784</v>
      </c>
      <c r="B329" s="178">
        <v>40527</v>
      </c>
      <c r="C329" s="179">
        <v>121351.43</v>
      </c>
      <c r="D329" s="179"/>
      <c r="E329" s="181">
        <v>0.131748</v>
      </c>
      <c r="F329" s="181">
        <v>0.13388800000000001</v>
      </c>
      <c r="G329" s="181">
        <v>0.136882</v>
      </c>
    </row>
    <row r="330" spans="1:7" ht="16.149999999999999">
      <c r="A330" s="177" t="s">
        <v>785</v>
      </c>
      <c r="B330" s="178">
        <v>40541</v>
      </c>
      <c r="C330" s="179">
        <v>96519.2</v>
      </c>
      <c r="D330" s="179"/>
      <c r="E330" s="181">
        <v>0.13203200000000001</v>
      </c>
      <c r="F330" s="181">
        <v>0.134073</v>
      </c>
      <c r="G330" s="181">
        <v>0.13725000000000001</v>
      </c>
    </row>
    <row r="331" spans="1:7" ht="16.149999999999999">
      <c r="A331" s="177" t="s">
        <v>786</v>
      </c>
      <c r="B331" s="178">
        <v>40555</v>
      </c>
      <c r="C331" s="179">
        <v>166201.41</v>
      </c>
      <c r="D331" s="179"/>
      <c r="E331" s="181">
        <v>0.133746</v>
      </c>
      <c r="F331" s="181">
        <v>0.13495399999999999</v>
      </c>
      <c r="G331" s="181" t="s">
        <v>467</v>
      </c>
    </row>
    <row r="332" spans="1:7" ht="16.149999999999999">
      <c r="A332" s="177" t="s">
        <v>787</v>
      </c>
      <c r="B332" s="178">
        <v>40569</v>
      </c>
      <c r="C332" s="179">
        <v>196898.43</v>
      </c>
      <c r="D332" s="179"/>
      <c r="E332" s="181">
        <v>0.13567199999999999</v>
      </c>
      <c r="F332" s="181">
        <v>0.13619500000000001</v>
      </c>
      <c r="G332" s="181">
        <v>0.13869899999999999</v>
      </c>
    </row>
    <row r="333" spans="1:7" ht="16.149999999999999">
      <c r="A333" s="177" t="s">
        <v>788</v>
      </c>
      <c r="B333" s="178">
        <v>40583</v>
      </c>
      <c r="C333" s="179">
        <v>169904.85</v>
      </c>
      <c r="D333" s="179"/>
      <c r="E333" s="181">
        <v>0.13522700000000001</v>
      </c>
      <c r="F333" s="181">
        <v>0.13655100000000001</v>
      </c>
      <c r="G333" s="181">
        <v>0.13833899999999999</v>
      </c>
    </row>
    <row r="334" spans="1:7" ht="16.149999999999999">
      <c r="A334" s="177" t="s">
        <v>789</v>
      </c>
      <c r="B334" s="178">
        <v>40597</v>
      </c>
      <c r="C334" s="179">
        <v>158970.32</v>
      </c>
      <c r="D334" s="179"/>
      <c r="E334" s="181">
        <v>0.13444800000000001</v>
      </c>
      <c r="F334" s="181">
        <v>0.13675000000000001</v>
      </c>
      <c r="G334" s="181">
        <v>0.13847300000000001</v>
      </c>
    </row>
    <row r="335" spans="1:7" ht="16.149999999999999">
      <c r="A335" s="177" t="s">
        <v>790</v>
      </c>
      <c r="B335" s="178">
        <v>40611</v>
      </c>
      <c r="C335" s="179">
        <v>177824.33</v>
      </c>
      <c r="D335" s="179"/>
      <c r="E335" s="181">
        <v>0.13392699999999999</v>
      </c>
      <c r="F335" s="181">
        <v>0.13645299999999999</v>
      </c>
      <c r="G335" s="181">
        <v>0.138401</v>
      </c>
    </row>
    <row r="336" spans="1:7" ht="16.149999999999999">
      <c r="A336" s="177" t="s">
        <v>791</v>
      </c>
      <c r="B336" s="178">
        <v>40624</v>
      </c>
      <c r="C336" s="179">
        <v>172557.27</v>
      </c>
      <c r="D336" s="179"/>
      <c r="E336" s="181">
        <v>0.13254199999999999</v>
      </c>
      <c r="F336" s="181">
        <v>0.13608500000000001</v>
      </c>
      <c r="G336" s="181">
        <v>0.13772599999999999</v>
      </c>
    </row>
    <row r="337" spans="1:7" ht="16.149999999999999">
      <c r="A337" s="177" t="s">
        <v>792</v>
      </c>
      <c r="B337" s="178">
        <v>40639</v>
      </c>
      <c r="C337" s="179">
        <v>209925.86</v>
      </c>
      <c r="D337" s="179"/>
      <c r="E337" s="181">
        <v>0.13250000000000001</v>
      </c>
      <c r="F337" s="181">
        <v>0.13656099999999999</v>
      </c>
      <c r="G337" s="181">
        <v>0.138322</v>
      </c>
    </row>
    <row r="338" spans="1:7" ht="16.149999999999999">
      <c r="A338" s="177" t="s">
        <v>793</v>
      </c>
      <c r="B338" s="178">
        <v>40653</v>
      </c>
      <c r="C338" s="179">
        <v>239577.35</v>
      </c>
      <c r="D338" s="179"/>
      <c r="E338" s="181">
        <v>0.132497</v>
      </c>
      <c r="F338" s="181">
        <v>0.136098</v>
      </c>
      <c r="G338" s="181">
        <v>0.13833000000000001</v>
      </c>
    </row>
    <row r="339" spans="1:7" ht="16.149999999999999">
      <c r="A339" s="177" t="s">
        <v>794</v>
      </c>
      <c r="B339" s="178">
        <v>40667</v>
      </c>
      <c r="C339" s="179">
        <v>264157.31</v>
      </c>
      <c r="D339" s="179"/>
      <c r="E339" s="181">
        <v>0.13064300000000001</v>
      </c>
      <c r="F339" s="181">
        <v>0.13452800000000001</v>
      </c>
      <c r="G339" s="181">
        <v>0.13783300000000001</v>
      </c>
    </row>
    <row r="340" spans="1:7" ht="16.149999999999999">
      <c r="A340" s="177" t="s">
        <v>795</v>
      </c>
      <c r="B340" s="178">
        <v>40681</v>
      </c>
      <c r="C340" s="179">
        <v>171930.44</v>
      </c>
      <c r="D340" s="179"/>
      <c r="E340" s="181">
        <v>0.13148000000000001</v>
      </c>
      <c r="F340" s="181">
        <v>0.13542100000000001</v>
      </c>
      <c r="G340" s="181">
        <v>0.13822400000000001</v>
      </c>
    </row>
    <row r="341" spans="1:7" ht="16.149999999999999">
      <c r="A341" s="177" t="s">
        <v>796</v>
      </c>
      <c r="B341" s="178">
        <v>40695</v>
      </c>
      <c r="C341" s="179">
        <v>138856.54999999999</v>
      </c>
      <c r="D341" s="179"/>
      <c r="E341" s="181">
        <v>0.13430600000000001</v>
      </c>
      <c r="F341" s="181">
        <v>0.136822</v>
      </c>
      <c r="G341" s="181">
        <v>0.13878299999999999</v>
      </c>
    </row>
    <row r="342" spans="1:7" ht="16.149999999999999">
      <c r="A342" s="177" t="s">
        <v>797</v>
      </c>
      <c r="B342" s="178">
        <v>40709</v>
      </c>
      <c r="C342" s="179">
        <v>181611.2</v>
      </c>
      <c r="D342" s="179"/>
      <c r="E342" s="181">
        <v>0.13466400000000001</v>
      </c>
      <c r="F342" s="181">
        <v>0.137077</v>
      </c>
      <c r="G342" s="181">
        <v>0.13883000000000001</v>
      </c>
    </row>
    <row r="343" spans="1:7" ht="16.149999999999999">
      <c r="A343" s="177" t="s">
        <v>798</v>
      </c>
      <c r="B343" s="178">
        <v>40723</v>
      </c>
      <c r="C343" s="179">
        <v>72755.64</v>
      </c>
      <c r="D343" s="179"/>
      <c r="E343" s="181">
        <v>0.13461799999999999</v>
      </c>
      <c r="F343" s="181">
        <v>0.13728299999999999</v>
      </c>
      <c r="G343" s="181">
        <v>0.139012</v>
      </c>
    </row>
    <row r="344" spans="1:7" ht="16.149999999999999">
      <c r="A344" s="177" t="s">
        <v>799</v>
      </c>
      <c r="B344" s="178">
        <v>40737</v>
      </c>
      <c r="C344" s="179">
        <v>115896.41</v>
      </c>
      <c r="D344" s="179"/>
      <c r="E344" s="181">
        <v>0.13480800000000001</v>
      </c>
      <c r="F344" s="181">
        <v>0.137407</v>
      </c>
      <c r="G344" s="181">
        <v>0.139048</v>
      </c>
    </row>
    <row r="345" spans="1:7" ht="16.149999999999999">
      <c r="A345" s="177" t="s">
        <v>800</v>
      </c>
      <c r="B345" s="178">
        <v>40751</v>
      </c>
      <c r="C345" s="179">
        <v>126149.89</v>
      </c>
      <c r="D345" s="179"/>
      <c r="E345" s="181">
        <v>0.13517999999999999</v>
      </c>
      <c r="F345" s="181">
        <v>0.137623</v>
      </c>
      <c r="G345" s="181">
        <v>0.139072</v>
      </c>
    </row>
    <row r="346" spans="1:7" ht="16.149999999999999">
      <c r="A346" s="177" t="s">
        <v>801</v>
      </c>
      <c r="B346" s="178">
        <v>40765</v>
      </c>
      <c r="C346" s="179">
        <v>182830.51</v>
      </c>
      <c r="D346" s="179"/>
      <c r="E346" s="181">
        <v>0.130415</v>
      </c>
      <c r="F346" s="181">
        <v>0.132489</v>
      </c>
      <c r="G346" s="181">
        <v>0.13354199999999999</v>
      </c>
    </row>
    <row r="347" spans="1:7" ht="16.149999999999999">
      <c r="A347" s="177" t="s">
        <v>802</v>
      </c>
      <c r="B347" s="178">
        <v>40779</v>
      </c>
      <c r="C347" s="179">
        <v>114025.56</v>
      </c>
      <c r="D347" s="179"/>
      <c r="E347" s="181">
        <v>0.13028799999999999</v>
      </c>
      <c r="F347" s="181">
        <v>0.132772</v>
      </c>
      <c r="G347" s="181">
        <v>0.13339200000000001</v>
      </c>
    </row>
    <row r="348" spans="1:7" ht="16.149999999999999">
      <c r="A348" s="177" t="s">
        <v>803</v>
      </c>
      <c r="B348" s="178">
        <v>40793</v>
      </c>
      <c r="C348" s="179">
        <v>160233.71</v>
      </c>
      <c r="D348" s="179"/>
      <c r="E348" s="181">
        <v>0.130353</v>
      </c>
      <c r="F348" s="181">
        <v>0.132631</v>
      </c>
      <c r="G348" s="181">
        <v>0.13369500000000001</v>
      </c>
    </row>
    <row r="349" spans="1:7" ht="16.149999999999999">
      <c r="A349" s="177" t="s">
        <v>804</v>
      </c>
      <c r="B349" s="178">
        <v>40807</v>
      </c>
      <c r="C349" s="179">
        <v>151390</v>
      </c>
      <c r="D349" s="179"/>
      <c r="E349" s="181">
        <v>0.13035099999999999</v>
      </c>
      <c r="F349" s="181">
        <v>0.131965</v>
      </c>
      <c r="G349" s="181">
        <v>0.13288800000000001</v>
      </c>
    </row>
    <row r="350" spans="1:7" ht="16.149999999999999">
      <c r="A350" s="177" t="s">
        <v>805</v>
      </c>
      <c r="B350" s="178">
        <v>40821</v>
      </c>
      <c r="C350" s="179">
        <v>182154.33</v>
      </c>
      <c r="D350" s="179"/>
      <c r="E350" s="181">
        <v>0.12692400000000001</v>
      </c>
      <c r="F350" s="181">
        <v>0.12742400000000001</v>
      </c>
      <c r="G350" s="181">
        <v>0.12809100000000001</v>
      </c>
    </row>
    <row r="351" spans="1:7" ht="16.149999999999999">
      <c r="A351" s="177" t="s">
        <v>806</v>
      </c>
      <c r="B351" s="178">
        <v>40835</v>
      </c>
      <c r="C351" s="179">
        <v>121359.99</v>
      </c>
      <c r="D351" s="179"/>
      <c r="E351" s="181">
        <v>0.11867</v>
      </c>
      <c r="F351" s="181">
        <v>0.118978</v>
      </c>
      <c r="G351" s="181">
        <v>0.119252</v>
      </c>
    </row>
    <row r="352" spans="1:7" ht="16.149999999999999">
      <c r="A352" s="177" t="s">
        <v>807</v>
      </c>
      <c r="B352" s="178">
        <v>40849</v>
      </c>
      <c r="C352" s="179">
        <v>292977.95</v>
      </c>
      <c r="D352" s="179"/>
      <c r="E352" s="181">
        <v>0.11780599999999999</v>
      </c>
      <c r="F352" s="181">
        <v>0.11790299999999999</v>
      </c>
      <c r="G352" s="181">
        <v>0.11847000000000001</v>
      </c>
    </row>
    <row r="353" spans="1:7" ht="16.149999999999999">
      <c r="A353" s="177" t="s">
        <v>808</v>
      </c>
      <c r="B353" s="178">
        <v>40863</v>
      </c>
      <c r="C353" s="179">
        <v>126705.31</v>
      </c>
      <c r="D353" s="179"/>
      <c r="E353" s="181">
        <v>0.11779000000000001</v>
      </c>
      <c r="F353" s="181">
        <v>0.11798</v>
      </c>
      <c r="G353" s="181">
        <v>0.118654</v>
      </c>
    </row>
    <row r="354" spans="1:7" ht="16.149999999999999">
      <c r="A354" s="177" t="s">
        <v>809</v>
      </c>
      <c r="B354" s="178">
        <v>40877</v>
      </c>
      <c r="C354" s="179">
        <v>113262.98</v>
      </c>
      <c r="D354" s="179"/>
      <c r="E354" s="181">
        <v>0.11645</v>
      </c>
      <c r="F354" s="181">
        <v>0.116718</v>
      </c>
      <c r="G354" s="181">
        <v>0.117816</v>
      </c>
    </row>
    <row r="355" spans="1:7" ht="16.149999999999999">
      <c r="A355" s="177" t="s">
        <v>810</v>
      </c>
      <c r="B355" s="178">
        <v>40891</v>
      </c>
      <c r="C355" s="180" t="s">
        <v>467</v>
      </c>
      <c r="D355" s="180"/>
      <c r="E355" s="181" t="s">
        <v>467</v>
      </c>
      <c r="F355" s="181" t="s">
        <v>467</v>
      </c>
      <c r="G355" s="181" t="s">
        <v>467</v>
      </c>
    </row>
    <row r="356" spans="1:7" ht="16.149999999999999">
      <c r="A356" s="177" t="s">
        <v>811</v>
      </c>
      <c r="B356" s="178">
        <v>40905</v>
      </c>
      <c r="C356" s="179">
        <v>3543.49</v>
      </c>
      <c r="D356" s="179"/>
      <c r="E356" s="181">
        <v>0.118283</v>
      </c>
      <c r="F356" s="181" t="s">
        <v>467</v>
      </c>
      <c r="G356" s="181">
        <v>0.119019</v>
      </c>
    </row>
    <row r="357" spans="1:7" ht="16.149999999999999">
      <c r="A357" s="177" t="s">
        <v>812</v>
      </c>
      <c r="B357" s="178">
        <v>40919</v>
      </c>
      <c r="C357" s="179">
        <v>107264.62</v>
      </c>
      <c r="D357" s="179"/>
      <c r="E357" s="181">
        <v>0.117794</v>
      </c>
      <c r="F357" s="181">
        <v>0.117812</v>
      </c>
      <c r="G357" s="181">
        <v>0.118894</v>
      </c>
    </row>
    <row r="358" spans="1:7" ht="16.149999999999999">
      <c r="A358" s="177" t="s">
        <v>813</v>
      </c>
      <c r="B358" s="178">
        <v>40933</v>
      </c>
      <c r="C358" s="179">
        <v>120311.47</v>
      </c>
      <c r="D358" s="179"/>
      <c r="E358" s="181">
        <v>0.115623</v>
      </c>
      <c r="F358" s="181">
        <v>0.11626400000000001</v>
      </c>
      <c r="G358" s="181">
        <v>0.11690300000000001</v>
      </c>
    </row>
    <row r="359" spans="1:7" ht="16.149999999999999">
      <c r="A359" s="177" t="s">
        <v>814</v>
      </c>
      <c r="B359" s="178">
        <v>40947</v>
      </c>
      <c r="C359" s="179">
        <v>158132.48000000001</v>
      </c>
      <c r="D359" s="179"/>
      <c r="E359" s="181">
        <v>0.11713999999999999</v>
      </c>
      <c r="F359" s="181">
        <v>0.11772199999999999</v>
      </c>
      <c r="G359" s="181">
        <v>0.11841699999999999</v>
      </c>
    </row>
    <row r="360" spans="1:7" ht="16.149999999999999">
      <c r="A360" s="177" t="s">
        <v>815</v>
      </c>
      <c r="B360" s="178">
        <v>40961</v>
      </c>
      <c r="C360" s="179">
        <v>13349.03</v>
      </c>
      <c r="D360" s="179"/>
      <c r="E360" s="181">
        <v>0.117366</v>
      </c>
      <c r="F360" s="181">
        <v>0.11806999999999999</v>
      </c>
      <c r="G360" s="181" t="s">
        <v>467</v>
      </c>
    </row>
    <row r="361" spans="1:7" ht="16.149999999999999">
      <c r="A361" s="177" t="s">
        <v>816</v>
      </c>
      <c r="B361" s="178">
        <v>40975</v>
      </c>
      <c r="C361" s="179">
        <v>125196.204</v>
      </c>
      <c r="D361" s="179"/>
      <c r="E361" s="181">
        <v>0.11798</v>
      </c>
      <c r="F361" s="181">
        <v>0.118677</v>
      </c>
      <c r="G361" s="181">
        <v>0.119211</v>
      </c>
    </row>
    <row r="362" spans="1:7" ht="16.149999999999999">
      <c r="A362" s="177" t="s">
        <v>817</v>
      </c>
      <c r="B362" s="178">
        <v>40989</v>
      </c>
      <c r="C362" s="179">
        <v>71060.566000000006</v>
      </c>
      <c r="D362" s="179"/>
      <c r="E362" s="181">
        <v>0.118645</v>
      </c>
      <c r="F362" s="181">
        <v>0.11928800000000001</v>
      </c>
      <c r="G362" s="181">
        <v>0.119396</v>
      </c>
    </row>
    <row r="363" spans="1:7" ht="16.149999999999999">
      <c r="A363" s="177" t="s">
        <v>818</v>
      </c>
      <c r="B363" s="178">
        <v>41003</v>
      </c>
      <c r="C363" s="179">
        <v>151759.31</v>
      </c>
      <c r="D363" s="179"/>
      <c r="E363" s="181">
        <v>0.11867</v>
      </c>
      <c r="F363" s="181">
        <v>0.119279</v>
      </c>
      <c r="G363" s="181">
        <v>0.119396</v>
      </c>
    </row>
    <row r="364" spans="1:7" ht="16.149999999999999">
      <c r="A364" s="177" t="s">
        <v>819</v>
      </c>
      <c r="B364" s="178">
        <v>41017</v>
      </c>
      <c r="C364" s="179">
        <v>164602.00200000001</v>
      </c>
      <c r="D364" s="179"/>
      <c r="E364" s="181">
        <v>0.118739</v>
      </c>
      <c r="F364" s="181">
        <v>0.11941400000000001</v>
      </c>
      <c r="G364" s="181" t="s">
        <v>467</v>
      </c>
    </row>
    <row r="365" spans="1:7" ht="16.149999999999999">
      <c r="A365" s="177" t="s">
        <v>820</v>
      </c>
      <c r="B365" s="178">
        <v>41031</v>
      </c>
      <c r="C365" s="179">
        <v>172604.78700000001</v>
      </c>
      <c r="D365" s="179"/>
      <c r="E365" s="181">
        <v>0.11874</v>
      </c>
      <c r="F365" s="181">
        <v>0.119405</v>
      </c>
      <c r="G365" s="181" t="s">
        <v>467</v>
      </c>
    </row>
    <row r="366" spans="1:7" ht="16.149999999999999">
      <c r="A366" s="177" t="s">
        <v>821</v>
      </c>
      <c r="B366" s="178">
        <v>41045</v>
      </c>
      <c r="C366" s="179">
        <v>159422.52600000001</v>
      </c>
      <c r="D366" s="179"/>
      <c r="E366" s="181">
        <v>0.118723</v>
      </c>
      <c r="F366" s="181">
        <v>0.11942</v>
      </c>
      <c r="G366" s="181">
        <v>0.119522</v>
      </c>
    </row>
    <row r="367" spans="1:7" ht="16.149999999999999">
      <c r="A367" s="177" t="s">
        <v>822</v>
      </c>
      <c r="B367" s="178">
        <v>41059</v>
      </c>
      <c r="C367" s="179">
        <v>118081.57799999999</v>
      </c>
      <c r="D367" s="179"/>
      <c r="E367" s="181">
        <v>0.118742</v>
      </c>
      <c r="F367" s="181">
        <v>0.11942</v>
      </c>
      <c r="G367" s="181" t="s">
        <v>467</v>
      </c>
    </row>
    <row r="368" spans="1:7" ht="16.149999999999999">
      <c r="A368" s="177" t="s">
        <v>823</v>
      </c>
      <c r="B368" s="178">
        <v>41073</v>
      </c>
      <c r="C368" s="179">
        <v>69158.994999999995</v>
      </c>
      <c r="D368" s="179"/>
      <c r="E368" s="181">
        <v>0.11897099999999999</v>
      </c>
      <c r="F368" s="181">
        <v>0.119366</v>
      </c>
      <c r="G368" s="181">
        <v>0.119459</v>
      </c>
    </row>
    <row r="369" spans="1:7" ht="16.149999999999999">
      <c r="A369" s="177" t="s">
        <v>824</v>
      </c>
      <c r="B369" s="178">
        <v>41087</v>
      </c>
      <c r="C369" s="179">
        <v>99648.998999999996</v>
      </c>
      <c r="D369" s="179"/>
      <c r="E369" s="181">
        <v>0.119181</v>
      </c>
      <c r="F369" s="181">
        <v>0.119419</v>
      </c>
      <c r="G369" s="181">
        <v>0.119521</v>
      </c>
    </row>
    <row r="370" spans="1:7" ht="16.149999999999999">
      <c r="A370" s="177" t="s">
        <v>825</v>
      </c>
      <c r="B370" s="178">
        <v>41101</v>
      </c>
      <c r="C370" s="179">
        <v>308151.261</v>
      </c>
      <c r="D370" s="179"/>
      <c r="E370" s="181">
        <v>0.118732</v>
      </c>
      <c r="F370" s="181">
        <v>0.11916499999999999</v>
      </c>
      <c r="G370" s="181">
        <v>0.119295</v>
      </c>
    </row>
    <row r="371" spans="1:7" ht="16.149999999999999">
      <c r="A371" s="177" t="s">
        <v>826</v>
      </c>
      <c r="B371" s="178">
        <v>41115</v>
      </c>
      <c r="C371" s="179">
        <v>365238.011</v>
      </c>
      <c r="D371" s="179"/>
      <c r="E371" s="181">
        <v>0.11816</v>
      </c>
      <c r="F371" s="181">
        <v>0.118424</v>
      </c>
      <c r="G371" s="181">
        <v>0.118502</v>
      </c>
    </row>
    <row r="372" spans="1:7" ht="16.149999999999999">
      <c r="A372" s="177" t="s">
        <v>827</v>
      </c>
      <c r="B372" s="178">
        <v>41129</v>
      </c>
      <c r="C372" s="179">
        <v>355563.12099999998</v>
      </c>
      <c r="D372" s="179"/>
      <c r="E372" s="181">
        <v>0.114382</v>
      </c>
      <c r="F372" s="181">
        <v>0.114893</v>
      </c>
      <c r="G372" s="181">
        <v>0.11594599999999999</v>
      </c>
    </row>
    <row r="373" spans="1:7" ht="16.149999999999999">
      <c r="A373" s="177" t="s">
        <v>828</v>
      </c>
      <c r="B373" s="178">
        <v>41138</v>
      </c>
      <c r="C373" s="179">
        <v>147839.315</v>
      </c>
      <c r="D373" s="179"/>
      <c r="E373" s="181">
        <v>0.10406</v>
      </c>
      <c r="F373" s="181">
        <v>0.104314</v>
      </c>
      <c r="G373" s="181">
        <v>0.10464900000000001</v>
      </c>
    </row>
    <row r="374" spans="1:7" ht="16.149999999999999">
      <c r="A374" s="177" t="s">
        <v>829</v>
      </c>
      <c r="B374" s="178">
        <v>41157</v>
      </c>
      <c r="C374" s="179">
        <v>302341.08799999999</v>
      </c>
      <c r="D374" s="179"/>
      <c r="E374" s="181">
        <v>0.102605</v>
      </c>
      <c r="F374" s="181">
        <v>0.10278</v>
      </c>
      <c r="G374" s="181">
        <v>0.102938</v>
      </c>
    </row>
    <row r="375" spans="1:7" ht="16.149999999999999">
      <c r="A375" s="177" t="s">
        <v>830</v>
      </c>
      <c r="B375" s="178">
        <v>41171</v>
      </c>
      <c r="C375" s="179">
        <v>284393.788</v>
      </c>
      <c r="D375" s="179"/>
      <c r="E375" s="181">
        <v>0.102293</v>
      </c>
      <c r="F375" s="181">
        <v>0.102307</v>
      </c>
      <c r="G375" s="181">
        <v>0.10227600000000001</v>
      </c>
    </row>
    <row r="376" spans="1:7" ht="16.149999999999999">
      <c r="A376" s="177" t="s">
        <v>831</v>
      </c>
      <c r="B376" s="178">
        <v>41185</v>
      </c>
      <c r="C376" s="179">
        <v>191626.11499999999</v>
      </c>
      <c r="D376" s="179"/>
      <c r="E376" s="181">
        <v>9.7290000000000001E-2</v>
      </c>
      <c r="F376" s="181">
        <v>9.7406000000000006E-2</v>
      </c>
      <c r="G376" s="181">
        <v>9.7332000000000002E-2</v>
      </c>
    </row>
    <row r="377" spans="1:7" ht="16.149999999999999">
      <c r="A377" s="177" t="s">
        <v>832</v>
      </c>
      <c r="B377" s="178">
        <v>41199</v>
      </c>
      <c r="C377" s="179">
        <v>192649.122</v>
      </c>
      <c r="D377" s="179"/>
      <c r="E377" s="181">
        <v>9.6382999999999996E-2</v>
      </c>
      <c r="F377" s="181">
        <v>9.6466999999999997E-2</v>
      </c>
      <c r="G377" s="181">
        <v>9.6946000000000004E-2</v>
      </c>
    </row>
    <row r="378" spans="1:7" ht="16.149999999999999">
      <c r="A378" s="177" t="s">
        <v>833</v>
      </c>
      <c r="B378" s="178">
        <v>41213</v>
      </c>
      <c r="C378" s="179">
        <v>305161.98599999998</v>
      </c>
      <c r="D378" s="179"/>
      <c r="E378" s="181">
        <v>9.2300999999999994E-2</v>
      </c>
      <c r="F378" s="181">
        <v>9.2253000000000002E-2</v>
      </c>
      <c r="G378" s="181">
        <v>9.2841999999999994E-2</v>
      </c>
    </row>
    <row r="379" spans="1:7" ht="16.149999999999999">
      <c r="A379" s="177" t="s">
        <v>834</v>
      </c>
      <c r="B379" s="178">
        <v>41227</v>
      </c>
      <c r="C379" s="179">
        <v>151824.56400000001</v>
      </c>
      <c r="D379" s="179"/>
      <c r="E379" s="181">
        <v>9.2369000000000007E-2</v>
      </c>
      <c r="F379" s="181">
        <v>9.264E-2</v>
      </c>
      <c r="G379" s="181">
        <v>9.3413999999999997E-2</v>
      </c>
    </row>
    <row r="380" spans="1:7" ht="16.149999999999999">
      <c r="A380" s="177" t="s">
        <v>835</v>
      </c>
      <c r="B380" s="178">
        <v>41241</v>
      </c>
      <c r="C380" s="179">
        <v>165621.85399999999</v>
      </c>
      <c r="D380" s="179"/>
      <c r="E380" s="181">
        <v>9.2825000000000005E-2</v>
      </c>
      <c r="F380" s="181">
        <v>9.3191999999999997E-2</v>
      </c>
      <c r="G380" s="181">
        <v>9.3795000000000003E-2</v>
      </c>
    </row>
    <row r="381" spans="1:7" ht="16.149999999999999">
      <c r="A381" s="177" t="s">
        <v>836</v>
      </c>
      <c r="B381" s="178">
        <v>41255</v>
      </c>
      <c r="C381" s="179">
        <v>77925.706000000006</v>
      </c>
      <c r="D381" s="179"/>
      <c r="E381" s="181">
        <v>9.2754000000000003E-2</v>
      </c>
      <c r="F381" s="181">
        <v>9.2840000000000006E-2</v>
      </c>
      <c r="G381" s="181">
        <v>9.3586000000000003E-2</v>
      </c>
    </row>
    <row r="382" spans="1:7" ht="16.149999999999999">
      <c r="A382" s="177" t="s">
        <v>837</v>
      </c>
      <c r="B382" s="178">
        <v>41269</v>
      </c>
      <c r="C382" s="180" t="s">
        <v>467</v>
      </c>
      <c r="D382" s="180"/>
      <c r="E382" s="181" t="s">
        <v>467</v>
      </c>
      <c r="F382" s="181" t="s">
        <v>467</v>
      </c>
      <c r="G382" s="181" t="s">
        <v>467</v>
      </c>
    </row>
    <row r="383" spans="1:7" ht="16.149999999999999">
      <c r="A383" s="177" t="s">
        <v>838</v>
      </c>
      <c r="B383" s="178">
        <v>41283</v>
      </c>
      <c r="C383" s="179">
        <v>224087.929</v>
      </c>
      <c r="D383" s="179"/>
      <c r="E383" s="181">
        <v>9.1759999999999994E-2</v>
      </c>
      <c r="F383" s="181">
        <v>9.1923000000000005E-2</v>
      </c>
      <c r="G383" s="181">
        <v>9.2791999999999999E-2</v>
      </c>
    </row>
    <row r="384" spans="1:7" ht="16.149999999999999">
      <c r="A384" s="177" t="s">
        <v>839</v>
      </c>
      <c r="B384" s="178">
        <v>41297</v>
      </c>
      <c r="C384" s="179">
        <v>324496.467</v>
      </c>
      <c r="D384" s="179"/>
      <c r="E384" s="181">
        <v>9.0922000000000003E-2</v>
      </c>
      <c r="F384" s="181">
        <v>9.1446E-2</v>
      </c>
      <c r="G384" s="181">
        <v>9.2354000000000006E-2</v>
      </c>
    </row>
    <row r="385" spans="1:7" ht="16.149999999999999">
      <c r="A385" s="177" t="s">
        <v>840</v>
      </c>
      <c r="B385" s="178">
        <v>41311</v>
      </c>
      <c r="C385" s="179">
        <v>233071.291</v>
      </c>
      <c r="D385" s="179"/>
      <c r="E385" s="181">
        <v>9.0898999999999994E-2</v>
      </c>
      <c r="F385" s="181">
        <v>9.1497999999999996E-2</v>
      </c>
      <c r="G385" s="181">
        <v>9.2413999999999996E-2</v>
      </c>
    </row>
    <row r="386" spans="1:7" ht="16.149999999999999">
      <c r="A386" s="177" t="s">
        <v>841</v>
      </c>
      <c r="B386" s="178">
        <v>41325</v>
      </c>
      <c r="C386" s="179">
        <v>103811.353</v>
      </c>
      <c r="D386" s="179"/>
      <c r="E386" s="181">
        <v>9.2148999999999995E-2</v>
      </c>
      <c r="F386" s="181">
        <v>9.3373999999999999E-2</v>
      </c>
      <c r="G386" s="181">
        <v>9.3650999999999998E-2</v>
      </c>
    </row>
    <row r="387" spans="1:7" ht="16.149999999999999">
      <c r="A387" s="177" t="s">
        <v>842</v>
      </c>
      <c r="B387" s="178">
        <v>41339</v>
      </c>
      <c r="C387" s="179">
        <v>146023.92600000001</v>
      </c>
      <c r="D387" s="179"/>
      <c r="E387" s="181">
        <v>9.2906000000000002E-2</v>
      </c>
      <c r="F387" s="181">
        <v>9.4044000000000003E-2</v>
      </c>
      <c r="G387" s="181">
        <v>9.4109999999999999E-2</v>
      </c>
    </row>
    <row r="388" spans="1:7" ht="16.149999999999999">
      <c r="A388" s="177" t="s">
        <v>843</v>
      </c>
      <c r="B388" s="178">
        <v>41353</v>
      </c>
      <c r="C388" s="179">
        <v>131035.436</v>
      </c>
      <c r="D388" s="179"/>
      <c r="E388" s="181">
        <v>9.3784000000000006E-2</v>
      </c>
      <c r="F388" s="181">
        <v>9.4185000000000005E-2</v>
      </c>
      <c r="G388" s="181" t="s">
        <v>464</v>
      </c>
    </row>
    <row r="389" spans="1:7" ht="16.149999999999999">
      <c r="A389" s="177" t="s">
        <v>844</v>
      </c>
      <c r="B389" s="178">
        <v>41367</v>
      </c>
      <c r="C389" s="179">
        <v>163222.93</v>
      </c>
      <c r="D389" s="179"/>
      <c r="E389" s="181">
        <v>9.3978000000000006E-2</v>
      </c>
      <c r="F389" s="181">
        <v>9.4134999999999996E-2</v>
      </c>
      <c r="G389" s="181">
        <v>9.4350000000000003E-2</v>
      </c>
    </row>
    <row r="390" spans="1:7" ht="16.149999999999999">
      <c r="A390" s="177" t="s">
        <v>845</v>
      </c>
      <c r="B390" s="178">
        <v>41381</v>
      </c>
      <c r="C390" s="179">
        <v>39628.743000000002</v>
      </c>
      <c r="D390" s="179"/>
      <c r="E390" s="181">
        <v>9.4112000000000001E-2</v>
      </c>
      <c r="F390" s="181">
        <v>9.4280000000000003E-2</v>
      </c>
      <c r="G390" s="181" t="s">
        <v>464</v>
      </c>
    </row>
    <row r="391" spans="1:7" ht="16.149999999999999">
      <c r="A391" s="177" t="s">
        <v>846</v>
      </c>
      <c r="B391" s="178">
        <v>41394</v>
      </c>
      <c r="C391" s="179">
        <v>168625.58</v>
      </c>
      <c r="D391" s="179"/>
      <c r="E391" s="181">
        <v>9.4280000000000003E-2</v>
      </c>
      <c r="F391" s="181">
        <v>9.4291E-2</v>
      </c>
      <c r="G391" s="181">
        <v>9.4302999999999998E-2</v>
      </c>
    </row>
    <row r="392" spans="1:7" ht="16.149999999999999">
      <c r="A392" s="177" t="s">
        <v>847</v>
      </c>
      <c r="B392" s="178">
        <v>41409</v>
      </c>
      <c r="C392" s="179">
        <v>261575.59400000001</v>
      </c>
      <c r="D392" s="179"/>
      <c r="E392" s="181">
        <v>9.4012999999999999E-2</v>
      </c>
      <c r="F392" s="181">
        <v>9.4132999999999994E-2</v>
      </c>
      <c r="G392" s="181">
        <v>9.4089999999999993E-2</v>
      </c>
    </row>
    <row r="393" spans="1:7" ht="16.149999999999999">
      <c r="A393" s="177" t="s">
        <v>848</v>
      </c>
      <c r="B393" s="178">
        <v>41423</v>
      </c>
      <c r="C393" s="179">
        <v>261653.07399999999</v>
      </c>
      <c r="D393" s="179"/>
      <c r="E393" s="181">
        <v>9.3615000000000004E-2</v>
      </c>
      <c r="F393" s="181">
        <v>9.332E-2</v>
      </c>
      <c r="G393" s="181">
        <v>9.3443999999999999E-2</v>
      </c>
    </row>
    <row r="394" spans="1:7" ht="16.149999999999999">
      <c r="A394" s="177" t="s">
        <v>849</v>
      </c>
      <c r="B394" s="178">
        <v>41437</v>
      </c>
      <c r="C394" s="179">
        <v>224513.56299999999</v>
      </c>
      <c r="D394" s="179"/>
      <c r="E394" s="181">
        <v>9.2300999999999994E-2</v>
      </c>
      <c r="F394" s="181">
        <v>9.2273999999999995E-2</v>
      </c>
      <c r="G394" s="181">
        <v>9.2083999999999999E-2</v>
      </c>
    </row>
    <row r="395" spans="1:7" ht="16.149999999999999">
      <c r="A395" s="177" t="s">
        <v>850</v>
      </c>
      <c r="B395" s="178">
        <v>41451</v>
      </c>
      <c r="C395" s="179">
        <v>153426.56599999999</v>
      </c>
      <c r="D395" s="179"/>
      <c r="E395" s="181">
        <v>8.9316000000000006E-2</v>
      </c>
      <c r="F395" s="181">
        <v>8.9161000000000004E-2</v>
      </c>
      <c r="G395" s="181">
        <v>8.9563000000000004E-2</v>
      </c>
    </row>
    <row r="396" spans="1:7" ht="16.149999999999999">
      <c r="A396" s="177" t="s">
        <v>851</v>
      </c>
      <c r="B396" s="178">
        <v>41465</v>
      </c>
      <c r="C396" s="179">
        <v>240325.291</v>
      </c>
      <c r="D396" s="179"/>
      <c r="E396" s="181">
        <v>8.8872000000000007E-2</v>
      </c>
      <c r="F396" s="181">
        <v>8.9443999999999996E-2</v>
      </c>
      <c r="G396" s="181">
        <v>8.9566000000000007E-2</v>
      </c>
    </row>
    <row r="397" spans="1:7" ht="16.149999999999999">
      <c r="A397" s="177" t="s">
        <v>852</v>
      </c>
      <c r="B397" s="178">
        <v>41479</v>
      </c>
      <c r="C397" s="179">
        <v>275516.25099999999</v>
      </c>
      <c r="D397" s="179"/>
      <c r="E397" s="181">
        <v>8.9483999999999994E-2</v>
      </c>
      <c r="F397" s="181">
        <v>8.9596999999999996E-2</v>
      </c>
      <c r="G397" s="181">
        <v>8.9745000000000005E-2</v>
      </c>
    </row>
    <row r="398" spans="1:7" ht="16.149999999999999">
      <c r="A398" s="177" t="s">
        <v>853</v>
      </c>
      <c r="B398" s="178">
        <v>41492</v>
      </c>
      <c r="C398" s="179">
        <v>195712.52799999999</v>
      </c>
      <c r="D398" s="179"/>
      <c r="E398" s="181">
        <v>8.9541999999999997E-2</v>
      </c>
      <c r="F398" s="181">
        <v>8.9832999999999996E-2</v>
      </c>
      <c r="G398" s="181" t="s">
        <v>464</v>
      </c>
    </row>
    <row r="399" spans="1:7" ht="16.149999999999999">
      <c r="A399" s="177" t="s">
        <v>854</v>
      </c>
      <c r="B399" s="178">
        <v>41507</v>
      </c>
      <c r="C399" s="179">
        <v>33082.805999999997</v>
      </c>
      <c r="D399" s="179"/>
      <c r="E399" s="181">
        <v>8.9582999999999996E-2</v>
      </c>
      <c r="F399" s="181">
        <v>8.9892E-2</v>
      </c>
      <c r="G399" s="181" t="s">
        <v>467</v>
      </c>
    </row>
    <row r="400" spans="1:7" ht="16.149999999999999">
      <c r="A400" s="177" t="s">
        <v>855</v>
      </c>
      <c r="B400" s="178">
        <v>41521</v>
      </c>
      <c r="C400" s="179">
        <v>88293.251000000004</v>
      </c>
      <c r="D400" s="179"/>
      <c r="E400" s="181">
        <v>8.9582999999999996E-2</v>
      </c>
      <c r="F400" s="181" t="s">
        <v>464</v>
      </c>
      <c r="G400" s="181" t="s">
        <v>464</v>
      </c>
    </row>
    <row r="401" spans="1:7" ht="16.149999999999999">
      <c r="A401" s="177" t="s">
        <v>856</v>
      </c>
      <c r="B401" s="178">
        <v>41535</v>
      </c>
      <c r="C401" s="179">
        <v>515937.91399999999</v>
      </c>
      <c r="D401" s="179"/>
      <c r="E401" s="181">
        <v>9.3495999999999996E-2</v>
      </c>
      <c r="F401" s="181">
        <v>9.4500000000000001E-2</v>
      </c>
      <c r="G401" s="181" t="s">
        <v>464</v>
      </c>
    </row>
    <row r="402" spans="1:7" ht="16.149999999999999">
      <c r="A402" s="177" t="s">
        <v>857</v>
      </c>
      <c r="B402" s="178">
        <v>41549</v>
      </c>
      <c r="C402" s="179">
        <v>342103.25099999999</v>
      </c>
      <c r="D402" s="179"/>
      <c r="E402" s="181">
        <v>9.3966999999999995E-2</v>
      </c>
      <c r="F402" s="181">
        <v>9.4500000000000001E-2</v>
      </c>
      <c r="G402" s="181" t="s">
        <v>464</v>
      </c>
    </row>
    <row r="403" spans="1:7" ht="16.149999999999999">
      <c r="A403" s="177" t="s">
        <v>858</v>
      </c>
      <c r="B403" s="178">
        <v>41561</v>
      </c>
      <c r="C403" s="179">
        <v>130764.72199999999</v>
      </c>
      <c r="D403" s="179"/>
      <c r="E403" s="181">
        <v>9.4154000000000002E-2</v>
      </c>
      <c r="F403" s="181" t="s">
        <v>464</v>
      </c>
      <c r="G403" s="181" t="s">
        <v>464</v>
      </c>
    </row>
    <row r="404" spans="1:7" ht="16.149999999999999">
      <c r="A404" s="177" t="s">
        <v>859</v>
      </c>
      <c r="B404" s="178">
        <v>41577</v>
      </c>
      <c r="C404" s="179">
        <v>350174.47200000001</v>
      </c>
      <c r="D404" s="179"/>
      <c r="E404" s="181">
        <v>9.4088000000000005E-2</v>
      </c>
      <c r="F404" s="181">
        <v>9.4640000000000002E-2</v>
      </c>
      <c r="G404" s="181" t="s">
        <v>464</v>
      </c>
    </row>
    <row r="405" spans="1:7" ht="16.149999999999999">
      <c r="A405" s="177" t="s">
        <v>860</v>
      </c>
      <c r="B405" s="178">
        <v>41590</v>
      </c>
      <c r="C405" s="179">
        <v>64896.161</v>
      </c>
      <c r="D405" s="179"/>
      <c r="E405" s="181">
        <v>9.4348000000000001E-2</v>
      </c>
      <c r="F405" s="181">
        <v>9.4640000000000002E-2</v>
      </c>
      <c r="G405" s="181" t="s">
        <v>464</v>
      </c>
    </row>
    <row r="406" spans="1:7" ht="16.149999999999999">
      <c r="A406" s="177" t="s">
        <v>861</v>
      </c>
      <c r="B406" s="178">
        <v>41605</v>
      </c>
      <c r="C406" s="179">
        <v>546352.21699999995</v>
      </c>
      <c r="D406" s="179"/>
      <c r="E406" s="181">
        <v>9.8320000000000005E-2</v>
      </c>
      <c r="F406" s="181" t="s">
        <v>467</v>
      </c>
      <c r="G406" s="181" t="s">
        <v>467</v>
      </c>
    </row>
    <row r="407" spans="1:7" ht="16.149999999999999">
      <c r="A407" s="177" t="s">
        <v>862</v>
      </c>
      <c r="B407" s="178">
        <v>41619</v>
      </c>
      <c r="C407" s="179">
        <v>519558.65600000002</v>
      </c>
      <c r="D407" s="179"/>
      <c r="E407" s="181">
        <v>9.8830000000000001E-2</v>
      </c>
      <c r="F407" s="181">
        <v>9.9791000000000005E-2</v>
      </c>
      <c r="G407" s="181" t="s">
        <v>464</v>
      </c>
    </row>
    <row r="408" spans="1:7" ht="16.149999999999999">
      <c r="A408" s="177" t="s">
        <v>863</v>
      </c>
      <c r="B408" s="178">
        <v>41632</v>
      </c>
      <c r="C408" s="179">
        <v>393233.75699999998</v>
      </c>
      <c r="D408" s="179"/>
      <c r="E408" s="181">
        <v>9.8984000000000003E-2</v>
      </c>
      <c r="F408" s="181">
        <v>9.9791000000000005E-2</v>
      </c>
      <c r="G408" s="181" t="s">
        <v>464</v>
      </c>
    </row>
    <row r="409" spans="1:7" ht="16.149999999999999">
      <c r="A409" s="177" t="s">
        <v>864</v>
      </c>
      <c r="B409" s="178">
        <v>41647</v>
      </c>
      <c r="C409" s="179">
        <v>95002.182000000001</v>
      </c>
      <c r="D409" s="179"/>
      <c r="E409" s="181">
        <v>9.9437999999999999E-2</v>
      </c>
      <c r="F409" s="181">
        <v>9.9490999999999996E-2</v>
      </c>
      <c r="G409" s="181">
        <v>9.9900000000000003E-2</v>
      </c>
    </row>
    <row r="410" spans="1:7" ht="16.149999999999999">
      <c r="A410" s="177" t="s">
        <v>865</v>
      </c>
      <c r="B410" s="178">
        <v>41661</v>
      </c>
      <c r="C410" s="179">
        <v>730802.429</v>
      </c>
      <c r="D410" s="179"/>
      <c r="E410" s="181">
        <v>9.9214999999999998E-2</v>
      </c>
      <c r="F410" s="181">
        <v>9.9764000000000005E-2</v>
      </c>
      <c r="G410" s="181">
        <v>9.9873000000000003E-2</v>
      </c>
    </row>
    <row r="411" spans="1:7" ht="16.149999999999999">
      <c r="A411" s="177" t="s">
        <v>866</v>
      </c>
      <c r="B411" s="178">
        <v>41674</v>
      </c>
      <c r="C411" s="179">
        <v>32408.691999999999</v>
      </c>
      <c r="D411" s="179"/>
      <c r="E411" s="181">
        <v>9.9740999999999996E-2</v>
      </c>
      <c r="F411" s="181">
        <v>9.9791000000000005E-2</v>
      </c>
      <c r="G411" s="181">
        <v>9.9867999999999998E-2</v>
      </c>
    </row>
    <row r="412" spans="1:7" ht="16.149999999999999">
      <c r="A412" s="177" t="s">
        <v>867</v>
      </c>
      <c r="B412" s="178">
        <v>41689</v>
      </c>
      <c r="C412" s="179">
        <v>332680.984</v>
      </c>
      <c r="D412" s="179"/>
      <c r="E412" s="181">
        <v>9.9541000000000004E-2</v>
      </c>
      <c r="F412" s="181">
        <v>9.9775000000000003E-2</v>
      </c>
      <c r="G412" s="181" t="s">
        <v>467</v>
      </c>
    </row>
    <row r="413" spans="1:7" ht="16.149999999999999">
      <c r="A413" s="177" t="s">
        <v>868</v>
      </c>
      <c r="B413" s="178">
        <v>41703</v>
      </c>
      <c r="C413" s="179">
        <v>284578.72100000002</v>
      </c>
      <c r="D413" s="179"/>
      <c r="E413" s="181">
        <v>9.9562999999999999E-2</v>
      </c>
      <c r="F413" s="181">
        <v>9.9790000000000004E-2</v>
      </c>
      <c r="G413" s="181">
        <v>9.9900000000000003E-2</v>
      </c>
    </row>
    <row r="414" spans="1:7" ht="16.149999999999999">
      <c r="A414" s="177" t="s">
        <v>869</v>
      </c>
      <c r="B414" s="178">
        <v>41717</v>
      </c>
      <c r="C414" s="179">
        <v>243271.45300000001</v>
      </c>
      <c r="D414" s="179"/>
      <c r="E414" s="181">
        <v>9.955E-2</v>
      </c>
      <c r="F414" s="181">
        <v>9.9787000000000001E-2</v>
      </c>
      <c r="G414" s="181">
        <v>9.9833000000000005E-2</v>
      </c>
    </row>
    <row r="415" spans="1:7" ht="16.149999999999999">
      <c r="A415" s="177" t="s">
        <v>870</v>
      </c>
      <c r="B415" s="178">
        <v>41731</v>
      </c>
      <c r="C415" s="179">
        <v>35176.182999999997</v>
      </c>
      <c r="D415" s="179"/>
      <c r="E415" s="181">
        <v>9.9564E-2</v>
      </c>
      <c r="F415" s="181">
        <v>9.9791000000000005E-2</v>
      </c>
      <c r="G415" s="181">
        <v>9.9900000000000003E-2</v>
      </c>
    </row>
    <row r="416" spans="1:7" ht="16.149999999999999">
      <c r="A416" s="177" t="s">
        <v>871</v>
      </c>
      <c r="B416" s="178">
        <v>41745</v>
      </c>
      <c r="C416" s="179">
        <v>281988.21299999999</v>
      </c>
      <c r="D416" s="179"/>
      <c r="E416" s="181">
        <v>9.9564E-2</v>
      </c>
      <c r="F416" s="181">
        <v>9.9791000000000005E-2</v>
      </c>
      <c r="G416" s="181">
        <v>9.9898000000000001E-2</v>
      </c>
    </row>
    <row r="417" spans="1:7" ht="16.149999999999999">
      <c r="A417" s="177" t="s">
        <v>872</v>
      </c>
      <c r="B417" s="178">
        <v>41759</v>
      </c>
      <c r="C417" s="179">
        <v>331426.33500000002</v>
      </c>
      <c r="D417" s="179"/>
      <c r="E417" s="181">
        <v>9.9382999999999999E-2</v>
      </c>
      <c r="F417" s="181">
        <v>9.9675E-2</v>
      </c>
      <c r="G417" s="181">
        <v>9.9864999999999995E-2</v>
      </c>
    </row>
    <row r="418" spans="1:7" ht="16.149999999999999">
      <c r="A418" s="177" t="s">
        <v>873</v>
      </c>
      <c r="B418" s="178">
        <v>41773</v>
      </c>
      <c r="C418" s="179">
        <v>360476.25900000002</v>
      </c>
      <c r="D418" s="179"/>
      <c r="E418" s="181">
        <v>9.9558999999999995E-2</v>
      </c>
      <c r="F418" s="181">
        <v>9.9715999999999999E-2</v>
      </c>
      <c r="G418" s="181">
        <v>9.9880999999999998E-2</v>
      </c>
    </row>
    <row r="419" spans="1:7" ht="16.149999999999999">
      <c r="A419" s="177" t="s">
        <v>874</v>
      </c>
      <c r="B419" s="178">
        <v>41787</v>
      </c>
      <c r="C419" s="179">
        <v>83262.758000000002</v>
      </c>
      <c r="D419" s="179"/>
      <c r="E419" s="181">
        <v>9.9564E-2</v>
      </c>
      <c r="F419" s="181">
        <v>9.9791000000000005E-2</v>
      </c>
      <c r="G419" s="181" t="s">
        <v>464</v>
      </c>
    </row>
    <row r="420" spans="1:7" ht="16.149999999999999">
      <c r="A420" s="177" t="s">
        <v>875</v>
      </c>
      <c r="B420" s="178">
        <v>41801</v>
      </c>
      <c r="C420" s="179">
        <v>92442.756999999998</v>
      </c>
      <c r="D420" s="179"/>
      <c r="E420" s="181">
        <v>9.9564E-2</v>
      </c>
      <c r="F420" s="181">
        <v>9.9763000000000004E-2</v>
      </c>
      <c r="G420" s="181">
        <v>9.9900000000000003E-2</v>
      </c>
    </row>
    <row r="421" spans="1:7" ht="16.149999999999999">
      <c r="A421" s="177" t="s">
        <v>876</v>
      </c>
      <c r="B421" s="178">
        <v>41815</v>
      </c>
      <c r="C421" s="179">
        <v>42949.849000000002</v>
      </c>
      <c r="D421" s="179"/>
      <c r="E421" s="181">
        <v>9.9564E-2</v>
      </c>
      <c r="F421" s="181">
        <v>9.9684999999999996E-2</v>
      </c>
      <c r="G421" s="181">
        <v>9.9900000000000003E-2</v>
      </c>
    </row>
    <row r="422" spans="1:7" ht="16.149999999999999">
      <c r="A422" s="177" t="s">
        <v>877</v>
      </c>
      <c r="B422" s="178">
        <v>41829</v>
      </c>
      <c r="C422" s="179">
        <v>141029.59</v>
      </c>
      <c r="D422" s="179"/>
      <c r="E422" s="181">
        <v>9.9564E-2</v>
      </c>
      <c r="F422" s="181">
        <v>9.9791000000000005E-2</v>
      </c>
      <c r="G422" s="181">
        <v>9.9900000000000003E-2</v>
      </c>
    </row>
    <row r="423" spans="1:7" ht="16.149999999999999">
      <c r="A423" s="177" t="s">
        <v>878</v>
      </c>
      <c r="B423" s="178">
        <v>41843</v>
      </c>
      <c r="C423" s="179">
        <v>123714.484</v>
      </c>
      <c r="D423" s="179"/>
      <c r="E423" s="181">
        <v>9.9564E-2</v>
      </c>
      <c r="F423" s="181">
        <v>9.9791000000000005E-2</v>
      </c>
      <c r="G423" s="181">
        <v>9.9900000000000003E-2</v>
      </c>
    </row>
    <row r="424" spans="1:7" ht="16.149999999999999">
      <c r="A424" s="177" t="s">
        <v>879</v>
      </c>
      <c r="B424" s="178">
        <v>41857</v>
      </c>
      <c r="C424" s="179">
        <v>92910.076000000001</v>
      </c>
      <c r="D424" s="179"/>
      <c r="E424" s="181">
        <v>9.9564E-2</v>
      </c>
      <c r="F424" s="181">
        <v>9.9684999999999996E-2</v>
      </c>
      <c r="G424" s="181">
        <v>9.9900000000000003E-2</v>
      </c>
    </row>
    <row r="425" spans="1:7" ht="16.149999999999999">
      <c r="A425" s="177" t="s">
        <v>880</v>
      </c>
      <c r="B425" s="178">
        <v>41871</v>
      </c>
      <c r="C425" s="179">
        <v>77214.494999999995</v>
      </c>
      <c r="D425" s="179"/>
      <c r="E425" s="181">
        <v>9.9564E-2</v>
      </c>
      <c r="F425" s="181">
        <v>9.9791000000000005E-2</v>
      </c>
      <c r="G425" s="181">
        <v>9.9900000000000003E-2</v>
      </c>
    </row>
    <row r="426" spans="1:7" ht="16.149999999999999">
      <c r="A426" s="177" t="s">
        <v>881</v>
      </c>
      <c r="B426" s="178">
        <v>41885</v>
      </c>
      <c r="C426" s="179">
        <v>196266.929</v>
      </c>
      <c r="D426" s="179"/>
      <c r="E426" s="181">
        <v>9.9564E-2</v>
      </c>
      <c r="F426" s="181">
        <v>9.9791000000000005E-2</v>
      </c>
      <c r="G426" s="181">
        <v>9.9899000000000002E-2</v>
      </c>
    </row>
    <row r="427" spans="1:7" ht="16.149999999999999">
      <c r="A427" s="177" t="s">
        <v>882</v>
      </c>
      <c r="B427" s="178">
        <v>41899</v>
      </c>
      <c r="C427" s="179">
        <v>9411.4969999999994</v>
      </c>
      <c r="D427" s="179"/>
      <c r="E427" s="181">
        <v>9.9564E-2</v>
      </c>
      <c r="F427" s="181" t="s">
        <v>467</v>
      </c>
      <c r="G427" s="181" t="s">
        <v>464</v>
      </c>
    </row>
    <row r="428" spans="1:7" ht="16.149999999999999">
      <c r="A428" s="177" t="s">
        <v>883</v>
      </c>
      <c r="B428" s="178">
        <v>41913</v>
      </c>
      <c r="C428" s="179">
        <v>41950.658000000003</v>
      </c>
      <c r="D428" s="179"/>
      <c r="E428" s="181">
        <v>9.9700999999999998E-2</v>
      </c>
      <c r="F428" s="181">
        <v>9.9791000000000005E-2</v>
      </c>
      <c r="G428" s="181" t="s">
        <v>464</v>
      </c>
    </row>
    <row r="429" spans="1:7" ht="16.149999999999999">
      <c r="A429" s="177" t="s">
        <v>884</v>
      </c>
      <c r="B429" s="178">
        <v>41927</v>
      </c>
      <c r="C429" s="179">
        <v>121437.914</v>
      </c>
      <c r="D429" s="179"/>
      <c r="E429" s="181">
        <v>9.9564E-2</v>
      </c>
      <c r="F429" s="181">
        <v>9.9791000000000005E-2</v>
      </c>
      <c r="G429" s="181" t="s">
        <v>464</v>
      </c>
    </row>
    <row r="430" spans="1:7" ht="16.149999999999999">
      <c r="A430" s="177" t="s">
        <v>885</v>
      </c>
      <c r="B430" s="178">
        <v>41941</v>
      </c>
      <c r="C430" s="179">
        <v>195088.30100000001</v>
      </c>
      <c r="D430" s="179"/>
      <c r="E430" s="181">
        <v>9.9551000000000001E-2</v>
      </c>
      <c r="F430" s="181">
        <v>9.9541000000000004E-2</v>
      </c>
      <c r="G430" s="181">
        <v>9.9823999999999996E-2</v>
      </c>
    </row>
    <row r="431" spans="1:7" ht="16.149999999999999">
      <c r="A431" s="177" t="s">
        <v>886</v>
      </c>
      <c r="B431" s="178">
        <v>41955</v>
      </c>
      <c r="C431" s="179">
        <v>302425.55599999998</v>
      </c>
      <c r="D431" s="179"/>
      <c r="E431" s="181">
        <v>9.9276000000000003E-2</v>
      </c>
      <c r="F431" s="181">
        <v>9.9228999999999998E-2</v>
      </c>
      <c r="G431" s="181">
        <v>9.9630999999999997E-2</v>
      </c>
    </row>
    <row r="432" spans="1:7" ht="16.149999999999999">
      <c r="A432" s="177" t="s">
        <v>887</v>
      </c>
      <c r="B432" s="178">
        <v>41969</v>
      </c>
      <c r="C432" s="179">
        <v>190559.72500000001</v>
      </c>
      <c r="D432" s="179"/>
      <c r="E432" s="181">
        <v>9.4488000000000003E-2</v>
      </c>
      <c r="F432" s="181">
        <v>9.4664999999999999E-2</v>
      </c>
      <c r="G432" s="181">
        <v>9.4753000000000004E-2</v>
      </c>
    </row>
    <row r="433" spans="1:7" ht="16.149999999999999">
      <c r="A433" s="177" t="s">
        <v>888</v>
      </c>
      <c r="B433" s="178">
        <v>41983</v>
      </c>
      <c r="C433" s="179">
        <v>73795.611000000004</v>
      </c>
      <c r="D433" s="179"/>
      <c r="E433" s="181">
        <v>9.4567999999999999E-2</v>
      </c>
      <c r="F433" s="181">
        <v>9.4939999999999997E-2</v>
      </c>
      <c r="G433" s="181">
        <v>9.4852000000000006E-2</v>
      </c>
    </row>
    <row r="434" spans="1:7" ht="16.149999999999999">
      <c r="A434" s="177" t="s">
        <v>889</v>
      </c>
      <c r="B434" s="178">
        <v>41997</v>
      </c>
      <c r="C434" s="179">
        <v>50152.228000000003</v>
      </c>
      <c r="D434" s="179"/>
      <c r="E434" s="181">
        <v>9.4788999999999998E-2</v>
      </c>
      <c r="F434" s="181">
        <v>9.4733999999999999E-2</v>
      </c>
      <c r="G434" s="181">
        <v>9.4177999999999998E-2</v>
      </c>
    </row>
    <row r="435" spans="1:7" ht="16.149999999999999">
      <c r="A435" s="177" t="s">
        <v>890</v>
      </c>
      <c r="B435" s="178">
        <v>42011</v>
      </c>
      <c r="C435" s="179">
        <v>222022.15</v>
      </c>
      <c r="D435" s="179"/>
      <c r="E435" s="181">
        <v>9.0715000000000004E-2</v>
      </c>
      <c r="F435" s="181">
        <v>9.1311000000000003E-2</v>
      </c>
      <c r="G435" s="181">
        <v>9.0990000000000001E-2</v>
      </c>
    </row>
    <row r="436" spans="1:7" ht="16.149999999999999">
      <c r="A436" s="177" t="s">
        <v>891</v>
      </c>
      <c r="B436" s="178">
        <v>42025</v>
      </c>
      <c r="C436" s="179">
        <v>175586.389</v>
      </c>
      <c r="D436" s="179"/>
      <c r="E436" s="181">
        <v>8.9217000000000005E-2</v>
      </c>
      <c r="F436" s="181">
        <v>8.9581999999999995E-2</v>
      </c>
      <c r="G436" s="181">
        <v>8.6361999999999994E-2</v>
      </c>
    </row>
    <row r="437" spans="1:7" ht="16.149999999999999">
      <c r="A437" s="177" t="s">
        <v>892</v>
      </c>
      <c r="B437" s="178">
        <v>42039</v>
      </c>
      <c r="C437" s="179">
        <v>192528.69699999999</v>
      </c>
      <c r="D437" s="179"/>
      <c r="E437" s="181">
        <v>8.3420999999999995E-2</v>
      </c>
      <c r="F437" s="181">
        <v>8.3862000000000006E-2</v>
      </c>
      <c r="G437" s="181">
        <v>8.3386000000000002E-2</v>
      </c>
    </row>
    <row r="438" spans="1:7" ht="16.149999999999999">
      <c r="A438" s="177" t="s">
        <v>893</v>
      </c>
      <c r="B438" s="178">
        <v>42053</v>
      </c>
      <c r="C438" s="179">
        <v>109237.51700000001</v>
      </c>
      <c r="D438" s="179"/>
      <c r="E438" s="181">
        <v>8.3232E-2</v>
      </c>
      <c r="F438" s="181">
        <v>8.3377000000000007E-2</v>
      </c>
      <c r="G438" s="181">
        <v>8.2808000000000007E-2</v>
      </c>
    </row>
    <row r="439" spans="1:7" ht="16.149999999999999">
      <c r="A439" s="177" t="s">
        <v>894</v>
      </c>
      <c r="B439" s="178">
        <v>42067</v>
      </c>
      <c r="C439" s="179">
        <v>94758.487999999998</v>
      </c>
      <c r="D439" s="179"/>
      <c r="E439" s="181">
        <v>8.1773999999999999E-2</v>
      </c>
      <c r="F439" s="181">
        <v>8.1209000000000003E-2</v>
      </c>
      <c r="G439" s="181">
        <v>7.9799999999999996E-2</v>
      </c>
    </row>
    <row r="440" spans="1:7" ht="16.149999999999999">
      <c r="A440" s="177" t="s">
        <v>895</v>
      </c>
      <c r="B440" s="178">
        <v>42081</v>
      </c>
      <c r="C440" s="179">
        <v>249835.79500000001</v>
      </c>
      <c r="D440" s="179"/>
      <c r="E440" s="181">
        <v>8.1577999999999998E-2</v>
      </c>
      <c r="F440" s="181">
        <v>7.8919000000000003E-2</v>
      </c>
      <c r="G440" s="181">
        <v>7.7684000000000003E-2</v>
      </c>
    </row>
    <row r="441" spans="1:7" ht="16.149999999999999">
      <c r="A441" s="177" t="s">
        <v>896</v>
      </c>
      <c r="B441" s="178">
        <v>42095</v>
      </c>
      <c r="C441" s="179">
        <v>83088.273000000001</v>
      </c>
      <c r="D441" s="179"/>
      <c r="E441" s="181">
        <v>7.9647999999999997E-2</v>
      </c>
      <c r="F441" s="181">
        <v>7.9254000000000005E-2</v>
      </c>
      <c r="G441" s="181">
        <v>7.8381999999999993E-2</v>
      </c>
    </row>
    <row r="442" spans="1:7" ht="16.149999999999999">
      <c r="A442" s="177" t="s">
        <v>897</v>
      </c>
      <c r="B442" s="178">
        <v>42109</v>
      </c>
      <c r="C442" s="179">
        <v>163371.54500000001</v>
      </c>
      <c r="D442" s="179"/>
      <c r="E442" s="181">
        <v>7.9177999999999998E-2</v>
      </c>
      <c r="F442" s="181">
        <v>7.8409000000000006E-2</v>
      </c>
      <c r="G442" s="181">
        <v>7.7534000000000006E-2</v>
      </c>
    </row>
    <row r="443" spans="1:7" ht="16.149999999999999">
      <c r="A443" s="177" t="s">
        <v>898</v>
      </c>
      <c r="B443" s="178">
        <v>42123</v>
      </c>
      <c r="C443" s="179">
        <v>251400.21100000001</v>
      </c>
      <c r="D443" s="179"/>
      <c r="E443" s="181">
        <v>7.3798000000000002E-2</v>
      </c>
      <c r="F443" s="181">
        <v>7.2638999999999995E-2</v>
      </c>
      <c r="G443" s="181">
        <v>7.1686E-2</v>
      </c>
    </row>
    <row r="444" spans="1:7" ht="16.149999999999999">
      <c r="A444" s="177" t="s">
        <v>899</v>
      </c>
      <c r="B444" s="178">
        <v>42137</v>
      </c>
      <c r="C444" s="179">
        <v>109270.849</v>
      </c>
      <c r="D444" s="179"/>
      <c r="E444" s="181">
        <v>6.8594000000000002E-2</v>
      </c>
      <c r="F444" s="181">
        <v>6.7198999999999995E-2</v>
      </c>
      <c r="G444" s="181">
        <v>6.7749000000000004E-2</v>
      </c>
    </row>
    <row r="445" spans="1:7" ht="16.149999999999999">
      <c r="A445" s="177" t="s">
        <v>900</v>
      </c>
      <c r="B445" s="178">
        <v>42151</v>
      </c>
      <c r="C445" s="179">
        <v>102196.194</v>
      </c>
      <c r="D445" s="179"/>
      <c r="E445" s="181">
        <v>6.6055000000000003E-2</v>
      </c>
      <c r="F445" s="181">
        <v>6.6350000000000006E-2</v>
      </c>
      <c r="G445" s="181">
        <v>6.7168000000000005E-2</v>
      </c>
    </row>
    <row r="446" spans="1:7" ht="16.149999999999999">
      <c r="A446" s="177" t="s">
        <v>901</v>
      </c>
      <c r="B446" s="178">
        <v>42165</v>
      </c>
      <c r="C446" s="179">
        <v>74174.603000000003</v>
      </c>
      <c r="D446" s="179"/>
      <c r="E446" s="181">
        <v>6.7435999999999996E-2</v>
      </c>
      <c r="F446" s="181">
        <v>6.7496E-2</v>
      </c>
      <c r="G446" s="181">
        <v>6.7825999999999997E-2</v>
      </c>
    </row>
    <row r="447" spans="1:7" ht="16.149999999999999">
      <c r="A447" s="177" t="s">
        <v>902</v>
      </c>
      <c r="B447" s="178">
        <v>42179</v>
      </c>
      <c r="C447" s="179">
        <v>93356.076000000001</v>
      </c>
      <c r="D447" s="179"/>
      <c r="E447" s="181">
        <v>6.8637000000000004E-2</v>
      </c>
      <c r="F447" s="181">
        <v>6.9355E-2</v>
      </c>
      <c r="G447" s="181">
        <v>6.9709999999999994E-2</v>
      </c>
    </row>
    <row r="448" spans="1:7" ht="16.149999999999999">
      <c r="A448" s="177" t="s">
        <v>903</v>
      </c>
      <c r="B448" s="178">
        <v>42193</v>
      </c>
      <c r="C448" s="179">
        <v>111660.639</v>
      </c>
      <c r="D448" s="179"/>
      <c r="E448" s="181">
        <v>6.9292999999999993E-2</v>
      </c>
      <c r="F448" s="181">
        <v>6.9501999999999994E-2</v>
      </c>
      <c r="G448" s="181">
        <v>6.9709999999999994E-2</v>
      </c>
    </row>
    <row r="449" spans="1:7" ht="16.149999999999999">
      <c r="A449" s="177" t="s">
        <v>904</v>
      </c>
      <c r="B449" s="178">
        <v>42207</v>
      </c>
      <c r="C449" s="179">
        <v>219900.886</v>
      </c>
      <c r="D449" s="179"/>
      <c r="E449" s="181">
        <v>6.9190000000000002E-2</v>
      </c>
      <c r="F449" s="181">
        <v>6.9452E-2</v>
      </c>
      <c r="G449" s="181">
        <v>6.9367999999999999E-2</v>
      </c>
    </row>
    <row r="450" spans="1:7" ht="16.149999999999999">
      <c r="A450" s="177" t="s">
        <v>905</v>
      </c>
      <c r="B450" s="178">
        <v>42221</v>
      </c>
      <c r="C450" s="179">
        <v>354999.59399999998</v>
      </c>
      <c r="D450" s="179"/>
      <c r="E450" s="181">
        <v>6.9197999999999996E-2</v>
      </c>
      <c r="F450" s="181">
        <v>6.9224999999999995E-2</v>
      </c>
      <c r="G450" s="181">
        <v>6.9258E-2</v>
      </c>
    </row>
    <row r="451" spans="1:7" ht="16.149999999999999">
      <c r="A451" s="177" t="s">
        <v>906</v>
      </c>
      <c r="B451" s="178">
        <v>42235</v>
      </c>
      <c r="C451" s="179">
        <v>236486.905</v>
      </c>
      <c r="D451" s="179"/>
      <c r="E451" s="181">
        <v>6.9307999999999995E-2</v>
      </c>
      <c r="F451" s="181">
        <v>6.9477999999999998E-2</v>
      </c>
      <c r="G451" s="181">
        <v>6.9536000000000001E-2</v>
      </c>
    </row>
    <row r="452" spans="1:7" ht="16.149999999999999">
      <c r="A452" s="177" t="s">
        <v>907</v>
      </c>
      <c r="B452" s="178">
        <v>42249</v>
      </c>
      <c r="C452" s="179">
        <v>196421.30100000001</v>
      </c>
      <c r="D452" s="179"/>
      <c r="E452" s="181">
        <v>6.9301000000000001E-2</v>
      </c>
      <c r="F452" s="181">
        <v>6.9511000000000003E-2</v>
      </c>
      <c r="G452" s="181">
        <v>6.9700999999999999E-2</v>
      </c>
    </row>
    <row r="453" spans="1:7" ht="16.149999999999999">
      <c r="A453" s="177" t="s">
        <v>908</v>
      </c>
      <c r="B453" s="178">
        <v>42263</v>
      </c>
      <c r="C453" s="179">
        <v>147537.75099999999</v>
      </c>
      <c r="D453" s="179"/>
      <c r="E453" s="181">
        <v>6.4624000000000001E-2</v>
      </c>
      <c r="F453" s="181">
        <v>6.4522999999999997E-2</v>
      </c>
      <c r="G453" s="181" t="s">
        <v>467</v>
      </c>
    </row>
    <row r="454" spans="1:7" ht="16.149999999999999">
      <c r="A454" s="177" t="s">
        <v>909</v>
      </c>
      <c r="B454" s="178">
        <v>42277</v>
      </c>
      <c r="C454" s="179">
        <v>58861.993999999999</v>
      </c>
      <c r="D454" s="179"/>
      <c r="E454" s="181">
        <v>6.4662999999999998E-2</v>
      </c>
      <c r="F454" s="181">
        <v>6.4799999999999996E-2</v>
      </c>
      <c r="G454" s="181" t="s">
        <v>467</v>
      </c>
    </row>
    <row r="455" spans="1:7" ht="16.149999999999999">
      <c r="A455" s="177" t="s">
        <v>910</v>
      </c>
      <c r="B455" s="178">
        <v>42291</v>
      </c>
      <c r="C455" s="179">
        <v>177754.57</v>
      </c>
      <c r="D455" s="179"/>
      <c r="E455" s="181">
        <v>6.4380000000000007E-2</v>
      </c>
      <c r="F455" s="181">
        <v>6.4692E-2</v>
      </c>
      <c r="G455" s="181">
        <v>6.4714999999999995E-2</v>
      </c>
    </row>
    <row r="456" spans="1:7" ht="16.149999999999999">
      <c r="A456" s="177" t="s">
        <v>911</v>
      </c>
      <c r="B456" s="178">
        <v>42305</v>
      </c>
      <c r="C456" s="179">
        <v>223051.06700000001</v>
      </c>
      <c r="D456" s="179"/>
      <c r="E456" s="181">
        <v>6.3037999999999997E-2</v>
      </c>
      <c r="F456" s="181">
        <v>6.3034999999999994E-2</v>
      </c>
      <c r="G456" s="181">
        <v>6.3086000000000003E-2</v>
      </c>
    </row>
    <row r="457" spans="1:7" ht="16.149999999999999">
      <c r="A457" s="177" t="s">
        <v>912</v>
      </c>
      <c r="B457" s="178">
        <v>42319</v>
      </c>
      <c r="C457" s="179">
        <v>262844.61499999999</v>
      </c>
      <c r="D457" s="179"/>
      <c r="E457" s="181">
        <v>6.2590999999999994E-2</v>
      </c>
      <c r="F457" s="181">
        <v>6.2793000000000002E-2</v>
      </c>
      <c r="G457" s="181">
        <v>6.2864000000000003E-2</v>
      </c>
    </row>
    <row r="458" spans="1:7" ht="16.149999999999999">
      <c r="A458" s="177" t="s">
        <v>913</v>
      </c>
      <c r="B458" s="178">
        <v>42333</v>
      </c>
      <c r="C458" s="179">
        <v>138925.02600000001</v>
      </c>
      <c r="D458" s="179"/>
      <c r="E458" s="181">
        <v>6.3690999999999998E-2</v>
      </c>
      <c r="F458" s="181">
        <v>6.3837000000000005E-2</v>
      </c>
      <c r="G458" s="181" t="s">
        <v>467</v>
      </c>
    </row>
    <row r="459" spans="1:7" ht="16.149999999999999">
      <c r="A459" s="177" t="s">
        <v>914</v>
      </c>
      <c r="B459" s="178">
        <v>42347</v>
      </c>
      <c r="C459" s="179">
        <v>92386.555999999997</v>
      </c>
      <c r="D459" s="179"/>
      <c r="E459" s="181">
        <v>6.3816999999999999E-2</v>
      </c>
      <c r="F459" s="181">
        <v>6.3946000000000003E-2</v>
      </c>
      <c r="G459" s="181" t="s">
        <v>467</v>
      </c>
    </row>
    <row r="460" spans="1:7" ht="16.149999999999999">
      <c r="A460" s="177" t="s">
        <v>915</v>
      </c>
      <c r="B460" s="178">
        <v>42361</v>
      </c>
      <c r="C460" s="179">
        <v>30393.361000000001</v>
      </c>
      <c r="D460" s="179"/>
      <c r="E460" s="181">
        <v>6.3374E-2</v>
      </c>
      <c r="F460" s="181">
        <v>6.3636999999999999E-2</v>
      </c>
      <c r="G460" s="181">
        <v>6.3913999999999999E-2</v>
      </c>
    </row>
    <row r="461" spans="1:7" ht="16.149999999999999">
      <c r="A461" s="177" t="s">
        <v>916</v>
      </c>
      <c r="B461" s="178">
        <v>42375</v>
      </c>
      <c r="C461" s="179">
        <v>246064.08799999999</v>
      </c>
      <c r="D461" s="179"/>
      <c r="E461" s="181">
        <v>6.3037999999999997E-2</v>
      </c>
      <c r="F461" s="181">
        <v>6.2825000000000006E-2</v>
      </c>
      <c r="G461" s="181">
        <v>6.2776999999999999E-2</v>
      </c>
    </row>
    <row r="462" spans="1:7" ht="16.149999999999999">
      <c r="A462" s="177" t="s">
        <v>917</v>
      </c>
      <c r="B462" s="178">
        <v>42389</v>
      </c>
      <c r="C462" s="179">
        <v>316374.63299999997</v>
      </c>
      <c r="D462" s="179"/>
      <c r="E462" s="181">
        <v>6.1616999999999998E-2</v>
      </c>
      <c r="F462" s="181">
        <v>6.1662000000000002E-2</v>
      </c>
      <c r="G462" s="181">
        <v>6.1702E-2</v>
      </c>
    </row>
    <row r="463" spans="1:7" ht="16.149999999999999">
      <c r="A463" s="177" t="s">
        <v>918</v>
      </c>
      <c r="B463" s="178">
        <v>42403</v>
      </c>
      <c r="C463" s="179">
        <v>330490.65600000002</v>
      </c>
      <c r="D463" s="179"/>
      <c r="E463" s="181">
        <v>6.2514E-2</v>
      </c>
      <c r="F463" s="181">
        <v>6.2392000000000003E-2</v>
      </c>
      <c r="G463" s="181">
        <v>6.2198999999999997E-2</v>
      </c>
    </row>
    <row r="464" spans="1:7" ht="16.149999999999999">
      <c r="A464" s="177" t="s">
        <v>919</v>
      </c>
      <c r="B464" s="178">
        <v>42417</v>
      </c>
      <c r="C464" s="179">
        <v>196591.96799999999</v>
      </c>
      <c r="D464" s="179"/>
      <c r="E464" s="181">
        <v>6.2141000000000002E-2</v>
      </c>
      <c r="F464" s="181">
        <v>6.2239000000000003E-2</v>
      </c>
      <c r="G464" s="181">
        <v>6.2169000000000002E-2</v>
      </c>
    </row>
    <row r="465" spans="1:7" ht="16.149999999999999">
      <c r="A465" s="177" t="s">
        <v>920</v>
      </c>
      <c r="B465" s="178">
        <v>42431</v>
      </c>
      <c r="C465" s="179">
        <v>184986.52100000001</v>
      </c>
      <c r="D465" s="179"/>
      <c r="E465" s="181">
        <v>6.1697000000000002E-2</v>
      </c>
      <c r="F465" s="181">
        <v>6.1872999999999997E-2</v>
      </c>
      <c r="G465" s="181">
        <v>6.2045999999999997E-2</v>
      </c>
    </row>
    <row r="466" spans="1:7" ht="16.149999999999999">
      <c r="A466" s="177" t="s">
        <v>921</v>
      </c>
      <c r="B466" s="178">
        <v>42445</v>
      </c>
      <c r="C466" s="179">
        <v>223278.82500000001</v>
      </c>
      <c r="D466" s="179"/>
      <c r="E466" s="181">
        <v>6.1515E-2</v>
      </c>
      <c r="F466" s="181">
        <v>6.1981000000000001E-2</v>
      </c>
      <c r="G466" s="181">
        <v>6.2087000000000003E-2</v>
      </c>
    </row>
    <row r="467" spans="1:7" ht="16.149999999999999">
      <c r="A467" s="177" t="s">
        <v>922</v>
      </c>
      <c r="B467" s="178">
        <v>42459</v>
      </c>
      <c r="C467" s="179">
        <v>56397.281999999999</v>
      </c>
      <c r="D467" s="179"/>
      <c r="E467" s="181">
        <v>6.1697000000000002E-2</v>
      </c>
      <c r="F467" s="181">
        <v>6.1811999999999999E-2</v>
      </c>
      <c r="G467" s="181">
        <v>6.1956999999999998E-2</v>
      </c>
    </row>
    <row r="468" spans="1:7" ht="16.149999999999999">
      <c r="A468" s="177" t="s">
        <v>923</v>
      </c>
      <c r="B468" s="178">
        <v>42473</v>
      </c>
      <c r="C468" s="179">
        <v>66721.213000000003</v>
      </c>
      <c r="D468" s="179"/>
      <c r="E468" s="181">
        <v>6.1697000000000002E-2</v>
      </c>
      <c r="F468" s="181">
        <v>6.1719999999999997E-2</v>
      </c>
      <c r="G468" s="181">
        <v>6.2079000000000002E-2</v>
      </c>
    </row>
    <row r="469" spans="1:7" ht="16.149999999999999">
      <c r="A469" s="177" t="s">
        <v>924</v>
      </c>
      <c r="B469" s="178">
        <v>42487</v>
      </c>
      <c r="C469" s="180" t="s">
        <v>467</v>
      </c>
      <c r="D469" s="180"/>
      <c r="E469" s="181" t="s">
        <v>467</v>
      </c>
      <c r="F469" s="181" t="s">
        <v>467</v>
      </c>
      <c r="G469" s="181" t="s">
        <v>467</v>
      </c>
    </row>
    <row r="470" spans="1:7" ht="16.149999999999999">
      <c r="A470" s="177" t="s">
        <v>925</v>
      </c>
      <c r="B470" s="178">
        <v>42501</v>
      </c>
      <c r="C470" s="179">
        <v>245679.052</v>
      </c>
      <c r="D470" s="179"/>
      <c r="E470" s="181">
        <v>6.2E-2</v>
      </c>
      <c r="F470" s="181">
        <v>6.2392999999999997E-2</v>
      </c>
      <c r="G470" s="181">
        <v>6.2539999999999998E-2</v>
      </c>
    </row>
    <row r="471" spans="1:7" ht="16.149999999999999">
      <c r="A471" s="177" t="s">
        <v>926</v>
      </c>
      <c r="B471" s="178">
        <v>42515</v>
      </c>
      <c r="C471" s="179">
        <v>278103.84399999998</v>
      </c>
      <c r="D471" s="179"/>
      <c r="E471" s="181">
        <v>5.9874999999999998E-2</v>
      </c>
      <c r="F471" s="181">
        <v>5.9991999999999997E-2</v>
      </c>
      <c r="G471" s="181">
        <v>6.0162E-2</v>
      </c>
    </row>
    <row r="472" spans="1:7" ht="16.149999999999999">
      <c r="A472" s="177" t="s">
        <v>927</v>
      </c>
      <c r="B472" s="178">
        <v>42529</v>
      </c>
      <c r="C472" s="179">
        <v>139185.12899999999</v>
      </c>
      <c r="D472" s="179"/>
      <c r="E472" s="181">
        <v>5.9463000000000002E-2</v>
      </c>
      <c r="F472" s="181">
        <v>5.9553000000000002E-2</v>
      </c>
      <c r="G472" s="181">
        <v>6.0012999999999997E-2</v>
      </c>
    </row>
    <row r="473" spans="1:7" ht="16.149999999999999">
      <c r="A473" s="177" t="s">
        <v>928</v>
      </c>
      <c r="B473" s="178">
        <v>42543</v>
      </c>
      <c r="C473" s="179">
        <v>193110.95499999999</v>
      </c>
      <c r="D473" s="179"/>
      <c r="E473" s="181">
        <v>5.8998000000000002E-2</v>
      </c>
      <c r="F473" s="181">
        <v>5.8909999999999997E-2</v>
      </c>
      <c r="G473" s="181">
        <v>5.9101000000000001E-2</v>
      </c>
    </row>
    <row r="474" spans="1:7" ht="16.149999999999999">
      <c r="A474" s="177" t="s">
        <v>929</v>
      </c>
      <c r="B474" s="178">
        <v>42555</v>
      </c>
      <c r="C474" s="179">
        <v>218245.065</v>
      </c>
      <c r="D474" s="179"/>
      <c r="E474" s="181">
        <v>5.8688999999999998E-2</v>
      </c>
      <c r="F474" s="181">
        <v>5.8903999999999998E-2</v>
      </c>
      <c r="G474" s="181">
        <v>5.9086E-2</v>
      </c>
    </row>
    <row r="475" spans="1:7" ht="16.149999999999999">
      <c r="A475" s="177" t="s">
        <v>930</v>
      </c>
      <c r="B475" s="178">
        <v>42571</v>
      </c>
      <c r="C475" s="179">
        <v>424360.81400000001</v>
      </c>
      <c r="D475" s="179"/>
      <c r="E475" s="181">
        <v>5.7873000000000001E-2</v>
      </c>
      <c r="F475" s="181">
        <v>5.8214000000000002E-2</v>
      </c>
      <c r="G475" s="181">
        <v>5.8369999999999998E-2</v>
      </c>
    </row>
    <row r="476" spans="1:7" ht="16.149999999999999">
      <c r="A476" s="177" t="s">
        <v>931</v>
      </c>
      <c r="B476" s="178">
        <v>42585</v>
      </c>
      <c r="C476" s="179">
        <v>378348.70699999999</v>
      </c>
      <c r="D476" s="179"/>
      <c r="E476" s="181">
        <v>5.8465999999999997E-2</v>
      </c>
      <c r="F476" s="181">
        <v>5.8888000000000003E-2</v>
      </c>
      <c r="G476" s="181">
        <v>5.8973999999999999E-2</v>
      </c>
    </row>
    <row r="477" spans="1:7" ht="16.149999999999999">
      <c r="A477" s="177" t="s">
        <v>932</v>
      </c>
      <c r="B477" s="178">
        <v>42599</v>
      </c>
      <c r="C477" s="179">
        <v>386601.45799999998</v>
      </c>
      <c r="D477" s="179"/>
      <c r="E477" s="181">
        <v>5.8568000000000002E-2</v>
      </c>
      <c r="F477" s="181">
        <v>5.8990000000000001E-2</v>
      </c>
      <c r="G477" s="181">
        <v>5.9128E-2</v>
      </c>
    </row>
    <row r="478" spans="1:7" ht="16.149999999999999">
      <c r="A478" s="177" t="s">
        <v>933</v>
      </c>
      <c r="B478" s="178">
        <v>42613</v>
      </c>
      <c r="C478" s="179">
        <v>179097.296</v>
      </c>
      <c r="D478" s="179"/>
      <c r="E478" s="181">
        <v>5.8570999999999998E-2</v>
      </c>
      <c r="F478" s="181">
        <v>5.9046000000000001E-2</v>
      </c>
      <c r="G478" s="181">
        <v>5.9147999999999999E-2</v>
      </c>
    </row>
    <row r="479" spans="1:7" ht="16.149999999999999">
      <c r="A479" s="177" t="s">
        <v>934</v>
      </c>
      <c r="B479" s="178">
        <v>42622</v>
      </c>
      <c r="C479" s="179">
        <v>85898.683999999994</v>
      </c>
      <c r="D479" s="179"/>
      <c r="E479" s="181">
        <v>5.8570999999999998E-2</v>
      </c>
      <c r="F479" s="181">
        <v>5.9046000000000001E-2</v>
      </c>
      <c r="G479" s="181">
        <v>5.9131000000000003E-2</v>
      </c>
    </row>
    <row r="480" spans="1:7" ht="16.149999999999999">
      <c r="A480" s="177" t="s">
        <v>935</v>
      </c>
      <c r="B480" s="178">
        <v>42641</v>
      </c>
      <c r="C480" s="179">
        <v>34308.28</v>
      </c>
      <c r="D480" s="179"/>
      <c r="E480" s="181">
        <v>5.8570999999999998E-2</v>
      </c>
      <c r="F480" s="181">
        <v>5.9046000000000001E-2</v>
      </c>
      <c r="G480" s="181">
        <v>5.9147999999999999E-2</v>
      </c>
    </row>
    <row r="481" spans="1:7" ht="16.149999999999999">
      <c r="A481" s="177" t="s">
        <v>936</v>
      </c>
      <c r="B481" s="178">
        <v>42653</v>
      </c>
      <c r="C481" s="179">
        <v>72547.471999999994</v>
      </c>
      <c r="D481" s="179"/>
      <c r="E481" s="181">
        <v>5.8570999999999998E-2</v>
      </c>
      <c r="F481" s="181">
        <v>5.9046000000000001E-2</v>
      </c>
      <c r="G481" s="181">
        <v>5.9147999999999999E-2</v>
      </c>
    </row>
    <row r="482" spans="1:7" ht="16.149999999999999">
      <c r="A482" s="177" t="s">
        <v>937</v>
      </c>
      <c r="B482" s="178">
        <v>42669</v>
      </c>
      <c r="C482" s="179">
        <v>97514.683999999994</v>
      </c>
      <c r="D482" s="179"/>
      <c r="E482" s="181">
        <v>5.8777000000000003E-2</v>
      </c>
      <c r="F482" s="181">
        <v>5.9046000000000001E-2</v>
      </c>
      <c r="G482" s="181">
        <v>5.9147999999999999E-2</v>
      </c>
    </row>
    <row r="483" spans="1:7" ht="16.149999999999999">
      <c r="A483" s="177" t="s">
        <v>938</v>
      </c>
      <c r="B483" s="178">
        <v>42683</v>
      </c>
      <c r="C483" s="179">
        <v>306282.08899999998</v>
      </c>
      <c r="D483" s="179"/>
      <c r="E483" s="181">
        <v>5.9188999999999999E-2</v>
      </c>
      <c r="F483" s="181">
        <v>5.9242999999999997E-2</v>
      </c>
      <c r="G483" s="181" t="s">
        <v>467</v>
      </c>
    </row>
    <row r="484" spans="1:7" ht="16.149999999999999">
      <c r="A484" s="177" t="s">
        <v>939</v>
      </c>
      <c r="B484" s="178">
        <v>42697</v>
      </c>
      <c r="C484" s="179">
        <v>296659.91899999999</v>
      </c>
      <c r="D484" s="179"/>
      <c r="E484" s="181">
        <v>5.9463000000000002E-2</v>
      </c>
      <c r="F484" s="181">
        <v>5.944E-2</v>
      </c>
      <c r="G484" s="181">
        <v>5.9485000000000003E-2</v>
      </c>
    </row>
    <row r="485" spans="1:7" ht="16.149999999999999">
      <c r="A485" s="177" t="s">
        <v>940</v>
      </c>
      <c r="B485" s="178">
        <v>42711</v>
      </c>
      <c r="C485" s="179">
        <v>154838.46599999999</v>
      </c>
      <c r="D485" s="179"/>
      <c r="E485" s="181">
        <v>5.9463000000000002E-2</v>
      </c>
      <c r="F485" s="181">
        <v>5.9471000000000003E-2</v>
      </c>
      <c r="G485" s="181" t="s">
        <v>467</v>
      </c>
    </row>
    <row r="486" spans="1:7" ht="16.149999999999999">
      <c r="A486" s="177" t="s">
        <v>941</v>
      </c>
      <c r="B486" s="178">
        <v>42725</v>
      </c>
      <c r="C486" s="179">
        <v>152202.236</v>
      </c>
      <c r="D486" s="179"/>
      <c r="E486" s="181">
        <v>5.9649000000000001E-2</v>
      </c>
      <c r="F486" s="181">
        <v>5.9791999999999998E-2</v>
      </c>
      <c r="G486" s="181" t="s">
        <v>467</v>
      </c>
    </row>
    <row r="487" spans="1:7" ht="16.149999999999999">
      <c r="A487" s="177" t="s">
        <v>942</v>
      </c>
      <c r="B487" s="178">
        <v>42739</v>
      </c>
      <c r="C487" s="179">
        <v>256025.101</v>
      </c>
      <c r="D487" s="179"/>
      <c r="E487" s="181">
        <v>5.9643000000000002E-2</v>
      </c>
      <c r="F487" s="181">
        <v>5.9757999999999999E-2</v>
      </c>
      <c r="G487" s="181">
        <v>5.9935000000000002E-2</v>
      </c>
    </row>
    <row r="488" spans="1:7" ht="16.149999999999999">
      <c r="A488" s="177" t="s">
        <v>943</v>
      </c>
      <c r="B488" s="178">
        <v>42753</v>
      </c>
      <c r="C488" s="179">
        <v>538376.79500000004</v>
      </c>
      <c r="D488" s="179"/>
      <c r="E488" s="181">
        <v>5.8820999999999998E-2</v>
      </c>
      <c r="F488" s="181">
        <v>5.9033000000000002E-2</v>
      </c>
      <c r="G488" s="181">
        <v>5.9312999999999998E-2</v>
      </c>
    </row>
    <row r="489" spans="1:7" ht="16.149999999999999">
      <c r="A489" s="177" t="s">
        <v>944</v>
      </c>
      <c r="B489" s="178">
        <v>42767</v>
      </c>
      <c r="C489" s="179">
        <v>606392.13399999996</v>
      </c>
      <c r="D489" s="179"/>
      <c r="E489" s="181">
        <v>5.9211E-2</v>
      </c>
      <c r="F489" s="181">
        <v>5.9714000000000003E-2</v>
      </c>
      <c r="G489" s="181">
        <v>5.9489E-2</v>
      </c>
    </row>
    <row r="490" spans="1:7" ht="16.149999999999999">
      <c r="A490" s="177" t="s">
        <v>945</v>
      </c>
      <c r="B490" s="178">
        <v>42781</v>
      </c>
      <c r="C490" s="179">
        <v>640235.80299999996</v>
      </c>
      <c r="D490" s="179"/>
      <c r="E490" s="181">
        <v>5.9416999999999998E-2</v>
      </c>
      <c r="F490" s="181">
        <v>5.9893000000000002E-2</v>
      </c>
      <c r="G490" s="181">
        <v>5.9927000000000001E-2</v>
      </c>
    </row>
    <row r="491" spans="1:7" ht="16.149999999999999">
      <c r="A491" s="177" t="s">
        <v>946</v>
      </c>
      <c r="B491" s="178">
        <v>42795</v>
      </c>
      <c r="C491" s="179">
        <v>397079.45500000002</v>
      </c>
      <c r="D491" s="179"/>
      <c r="E491" s="181">
        <v>5.9463000000000002E-2</v>
      </c>
      <c r="F491" s="181">
        <v>5.9895999999999998E-2</v>
      </c>
      <c r="G491" s="181">
        <v>5.9935000000000002E-2</v>
      </c>
    </row>
    <row r="492" spans="1:7" ht="16.149999999999999">
      <c r="A492" s="177" t="s">
        <v>947</v>
      </c>
      <c r="B492" s="178">
        <v>42809</v>
      </c>
      <c r="C492" s="179">
        <v>286640.27600000001</v>
      </c>
      <c r="D492" s="179"/>
      <c r="E492" s="181">
        <v>5.9463000000000002E-2</v>
      </c>
      <c r="F492" s="181">
        <v>5.9895999999999998E-2</v>
      </c>
      <c r="G492" s="181" t="s">
        <v>467</v>
      </c>
    </row>
    <row r="493" spans="1:7" ht="16.149999999999999">
      <c r="A493" s="177" t="s">
        <v>948</v>
      </c>
      <c r="B493" s="178">
        <v>42823</v>
      </c>
      <c r="C493" s="179">
        <v>162456.36199999999</v>
      </c>
      <c r="D493" s="179"/>
      <c r="E493" s="181">
        <v>5.9718E-2</v>
      </c>
      <c r="F493" s="181">
        <v>5.9934000000000001E-2</v>
      </c>
      <c r="G493" s="181" t="s">
        <v>464</v>
      </c>
    </row>
    <row r="494" spans="1:7" ht="16.149999999999999">
      <c r="A494" s="177" t="s">
        <v>949</v>
      </c>
      <c r="B494" s="178">
        <v>42837</v>
      </c>
      <c r="C494" s="179">
        <v>267163.99099999998</v>
      </c>
      <c r="D494" s="179"/>
      <c r="E494" s="181">
        <v>5.9753000000000001E-2</v>
      </c>
      <c r="F494" s="181" t="s">
        <v>467</v>
      </c>
      <c r="G494" s="181" t="s">
        <v>467</v>
      </c>
    </row>
    <row r="495" spans="1:7" ht="16.149999999999999">
      <c r="A495" s="177" t="s">
        <v>950</v>
      </c>
      <c r="B495" s="178">
        <v>42851</v>
      </c>
      <c r="C495" s="179">
        <v>376024.80599999998</v>
      </c>
      <c r="D495" s="179"/>
      <c r="E495" s="181">
        <v>5.9851000000000001E-2</v>
      </c>
      <c r="F495" s="181">
        <v>6.0082000000000003E-2</v>
      </c>
      <c r="G495" s="181">
        <v>5.9991999999999997E-2</v>
      </c>
    </row>
    <row r="496" spans="1:7" ht="16.149999999999999">
      <c r="A496" s="177" t="s">
        <v>951</v>
      </c>
      <c r="B496" s="178">
        <v>42865</v>
      </c>
      <c r="C496" s="179">
        <v>371684.47499999998</v>
      </c>
      <c r="D496" s="179"/>
      <c r="E496" s="181">
        <v>5.9909999999999998E-2</v>
      </c>
      <c r="F496" s="181">
        <v>6.0109000000000003E-2</v>
      </c>
      <c r="G496" s="181">
        <v>6.0273E-2</v>
      </c>
    </row>
    <row r="497" spans="1:7" ht="16.149999999999999">
      <c r="A497" s="177" t="s">
        <v>952</v>
      </c>
      <c r="B497" s="178">
        <v>42879</v>
      </c>
      <c r="C497" s="179">
        <v>341492.967</v>
      </c>
      <c r="D497" s="179"/>
      <c r="E497" s="181">
        <v>5.9909999999999998E-2</v>
      </c>
      <c r="F497" s="181">
        <v>6.0109000000000003E-2</v>
      </c>
      <c r="G497" s="181">
        <v>6.0498999999999997E-2</v>
      </c>
    </row>
    <row r="498" spans="1:7" ht="17.25" customHeight="1">
      <c r="A498" s="177" t="s">
        <v>953</v>
      </c>
      <c r="B498" s="178">
        <v>42893</v>
      </c>
      <c r="C498" s="179">
        <v>160796.05799999999</v>
      </c>
      <c r="D498" s="179"/>
      <c r="E498" s="181">
        <v>5.9904249134503991E-2</v>
      </c>
      <c r="F498" s="181">
        <v>6.0109063868462279E-2</v>
      </c>
      <c r="G498" s="181">
        <v>6.0498694392236943E-2</v>
      </c>
    </row>
    <row r="499" spans="1:7" ht="16.149999999999999">
      <c r="A499" s="177" t="s">
        <v>954</v>
      </c>
      <c r="B499" s="178">
        <v>42907</v>
      </c>
      <c r="C499" s="179">
        <v>354774.74622600002</v>
      </c>
      <c r="D499" s="179"/>
      <c r="E499" s="181">
        <v>5.9910014289576312E-2</v>
      </c>
      <c r="F499" s="181">
        <v>6.0109063868462292E-2</v>
      </c>
      <c r="G499" s="181">
        <v>6.0385966874516563E-2</v>
      </c>
    </row>
    <row r="500" spans="1:7" ht="16.149999999999999">
      <c r="A500" s="177" t="s">
        <v>955</v>
      </c>
      <c r="B500" s="178">
        <v>42921</v>
      </c>
      <c r="C500" s="179">
        <v>544940.31058199995</v>
      </c>
      <c r="D500" s="179"/>
      <c r="E500" s="181">
        <v>5.9910014289576333E-2</v>
      </c>
      <c r="F500" s="181">
        <v>6.0109063868462299E-2</v>
      </c>
      <c r="G500" s="181">
        <v>6.038596687451657E-2</v>
      </c>
    </row>
    <row r="501" spans="1:7" ht="16.149999999999999">
      <c r="A501" s="177" t="s">
        <v>956</v>
      </c>
      <c r="B501" s="178">
        <v>42935</v>
      </c>
      <c r="C501" s="179">
        <v>1071255.3773939998</v>
      </c>
      <c r="D501" s="179"/>
      <c r="E501" s="181">
        <v>5.9909103790826486E-2</v>
      </c>
      <c r="F501" s="181">
        <v>6.0109063868462244E-2</v>
      </c>
      <c r="G501" s="181">
        <v>6.0380857916354794E-2</v>
      </c>
    </row>
    <row r="502" spans="1:7" ht="16.149999999999999">
      <c r="A502" s="177" t="s">
        <v>957</v>
      </c>
      <c r="B502" s="178">
        <v>42949</v>
      </c>
      <c r="C502" s="179">
        <v>733603.49050199939</v>
      </c>
      <c r="D502" s="179"/>
      <c r="E502" s="181">
        <v>5.9902248844513444E-2</v>
      </c>
      <c r="F502" s="181">
        <v>6.0093080020442759E-2</v>
      </c>
      <c r="G502" s="181">
        <v>6.0385966874516549E-2</v>
      </c>
    </row>
    <row r="503" spans="1:7" ht="16.149999999999999">
      <c r="A503" s="177" t="s">
        <v>958</v>
      </c>
      <c r="B503" s="178">
        <v>42963</v>
      </c>
      <c r="C503" s="179">
        <v>615802.40943700005</v>
      </c>
      <c r="D503" s="179"/>
      <c r="E503" s="181">
        <v>5.9910014289576319E-2</v>
      </c>
      <c r="F503" s="181">
        <v>6.0109063868462313E-2</v>
      </c>
      <c r="G503" s="181" t="s">
        <v>467</v>
      </c>
    </row>
    <row r="504" spans="1:7" ht="16.149999999999999">
      <c r="A504" s="177" t="s">
        <v>959</v>
      </c>
      <c r="B504" s="178">
        <v>42978</v>
      </c>
      <c r="C504" s="179">
        <v>520572.10106200015</v>
      </c>
      <c r="D504" s="179"/>
      <c r="E504" s="181">
        <v>5.9910014289576326E-2</v>
      </c>
      <c r="F504" s="181">
        <v>6.0109063868462279E-2</v>
      </c>
      <c r="G504" s="181">
        <v>6.038596687451657E-2</v>
      </c>
    </row>
    <row r="505" spans="1:7" ht="16.149999999999999">
      <c r="A505" s="177" t="s">
        <v>960</v>
      </c>
      <c r="B505" s="178">
        <v>42991</v>
      </c>
      <c r="C505" s="179">
        <v>371820.48675299995</v>
      </c>
      <c r="D505" s="179"/>
      <c r="E505" s="181">
        <v>5.9910014289576326E-2</v>
      </c>
      <c r="F505" s="181">
        <v>6.0109063868462279E-2</v>
      </c>
      <c r="G505" s="181">
        <v>6.038596687451657E-2</v>
      </c>
    </row>
    <row r="506" spans="1:7" ht="16.149999999999999">
      <c r="A506" s="177" t="s">
        <v>961</v>
      </c>
      <c r="B506" s="178">
        <v>43005</v>
      </c>
      <c r="C506" s="179">
        <v>472433.26165399997</v>
      </c>
      <c r="D506" s="179"/>
      <c r="E506" s="181">
        <v>5.9910014289576353E-2</v>
      </c>
      <c r="F506" s="181">
        <v>6.0109063868462292E-2</v>
      </c>
      <c r="G506" s="181">
        <v>6.0273263257467652E-2</v>
      </c>
    </row>
    <row r="507" spans="1:7" ht="16.149999999999999">
      <c r="A507" s="177" t="s">
        <v>962</v>
      </c>
      <c r="B507" s="178">
        <v>43019</v>
      </c>
      <c r="C507" s="179">
        <v>801957.59672799951</v>
      </c>
      <c r="D507" s="179"/>
      <c r="E507" s="181">
        <v>5.991001428957643E-2</v>
      </c>
      <c r="F507" s="181">
        <v>6.0109063868462299E-2</v>
      </c>
      <c r="G507" s="181" t="s">
        <v>464</v>
      </c>
    </row>
    <row r="508" spans="1:7" ht="16.149999999999999">
      <c r="A508" s="177" t="s">
        <v>963</v>
      </c>
      <c r="B508" s="178">
        <v>43033</v>
      </c>
      <c r="C508" s="179">
        <v>730356.8370130012</v>
      </c>
      <c r="D508" s="179"/>
      <c r="E508" s="181">
        <v>5.991001428957643E-2</v>
      </c>
      <c r="F508" s="181">
        <v>6.0109063868462299E-2</v>
      </c>
      <c r="G508" s="181" t="s">
        <v>464</v>
      </c>
    </row>
    <row r="509" spans="1:7" ht="17.25" customHeight="1">
      <c r="A509" s="177" t="s">
        <v>964</v>
      </c>
      <c r="B509" s="178">
        <v>43047</v>
      </c>
      <c r="C509" s="179">
        <v>699642.95723400114</v>
      </c>
      <c r="D509" s="179"/>
      <c r="E509" s="181">
        <v>5.9909999999999998E-2</v>
      </c>
      <c r="F509" s="181">
        <v>6.0109063868462285E-2</v>
      </c>
      <c r="G509" s="181" t="s">
        <v>464</v>
      </c>
    </row>
    <row r="510" spans="1:7" ht="17.25" customHeight="1">
      <c r="A510" s="177" t="s">
        <v>965</v>
      </c>
      <c r="B510" s="178">
        <v>43061</v>
      </c>
      <c r="C510" s="179">
        <v>614671.61747499998</v>
      </c>
      <c r="D510" s="179"/>
      <c r="E510" s="181">
        <v>5.9908999999999997E-2</v>
      </c>
      <c r="F510" s="181">
        <v>6.0109063868462285E-2</v>
      </c>
      <c r="G510" s="181" t="s">
        <v>464</v>
      </c>
    </row>
    <row r="511" spans="1:7" ht="17.25" customHeight="1">
      <c r="A511" s="177" t="s">
        <v>966</v>
      </c>
      <c r="B511" s="178">
        <v>43075</v>
      </c>
      <c r="C511" s="179">
        <v>601480.59004999988</v>
      </c>
      <c r="D511" s="179"/>
      <c r="E511" s="181">
        <v>5.9909999999999998E-2</v>
      </c>
      <c r="F511" s="181">
        <v>6.0109063868462285E-2</v>
      </c>
      <c r="G511" s="181" t="s">
        <v>467</v>
      </c>
    </row>
    <row r="512" spans="1:7" ht="17.25" customHeight="1">
      <c r="A512" s="177" t="s">
        <v>967</v>
      </c>
      <c r="B512" s="178">
        <v>43089</v>
      </c>
      <c r="C512" s="179">
        <v>99411.389460000006</v>
      </c>
      <c r="D512" s="179"/>
      <c r="E512" s="181">
        <v>5.9909999999999998E-2</v>
      </c>
      <c r="F512" s="181" t="s">
        <v>464</v>
      </c>
      <c r="G512" s="181" t="s">
        <v>464</v>
      </c>
    </row>
    <row r="513" spans="1:7" ht="17.25" customHeight="1">
      <c r="A513" s="177" t="s">
        <v>968</v>
      </c>
      <c r="B513" s="178">
        <v>43103</v>
      </c>
      <c r="C513" s="179">
        <v>489034.74844800006</v>
      </c>
      <c r="D513" s="179"/>
      <c r="E513" s="181">
        <v>5.9910014289576347E-2</v>
      </c>
      <c r="F513" s="181" t="s">
        <v>464</v>
      </c>
      <c r="G513" s="181" t="s">
        <v>464</v>
      </c>
    </row>
    <row r="514" spans="1:7" ht="17.25" customHeight="1">
      <c r="A514" s="177" t="s">
        <v>969</v>
      </c>
      <c r="B514" s="178">
        <v>43117</v>
      </c>
      <c r="C514" s="179">
        <v>1070176.6042199999</v>
      </c>
      <c r="D514" s="179"/>
      <c r="E514" s="181">
        <v>5.9910014289576347E-2</v>
      </c>
      <c r="F514" s="181" t="s">
        <v>464</v>
      </c>
      <c r="G514" s="181" t="s">
        <v>464</v>
      </c>
    </row>
    <row r="515" spans="1:7" ht="17.25" customHeight="1">
      <c r="A515" s="177" t="s">
        <v>970</v>
      </c>
      <c r="B515" s="178">
        <f t="shared" ref="B515:B535" si="0">B514+14</f>
        <v>43131</v>
      </c>
      <c r="C515" s="179">
        <v>1153581.2252839999</v>
      </c>
      <c r="D515" s="179"/>
      <c r="E515" s="181">
        <v>6.2017999999999997E-2</v>
      </c>
      <c r="F515" s="181" t="s">
        <v>464</v>
      </c>
      <c r="G515" s="181" t="s">
        <v>464</v>
      </c>
    </row>
    <row r="516" spans="1:7" ht="17.25" customHeight="1">
      <c r="A516" s="177" t="s">
        <v>971</v>
      </c>
      <c r="B516" s="178">
        <f t="shared" si="0"/>
        <v>43145</v>
      </c>
      <c r="C516" s="179">
        <v>1085835.2182980003</v>
      </c>
      <c r="D516" s="179"/>
      <c r="E516" s="181">
        <v>6.2143471645684296E-2</v>
      </c>
      <c r="F516" s="181" t="s">
        <v>467</v>
      </c>
      <c r="G516" s="181" t="s">
        <v>464</v>
      </c>
    </row>
    <row r="517" spans="1:7" ht="17.25" customHeight="1">
      <c r="A517" s="177" t="s">
        <v>972</v>
      </c>
      <c r="B517" s="178">
        <f t="shared" si="0"/>
        <v>43159</v>
      </c>
      <c r="C517" s="179">
        <v>288330.58</v>
      </c>
      <c r="D517" s="179"/>
      <c r="E517" s="181">
        <v>6.232206457027209E-2</v>
      </c>
      <c r="F517" s="181" t="s">
        <v>467</v>
      </c>
      <c r="G517" s="181" t="s">
        <v>464</v>
      </c>
    </row>
    <row r="518" spans="1:7" ht="17.25" customHeight="1">
      <c r="A518" s="177" t="s">
        <v>973</v>
      </c>
      <c r="B518" s="178">
        <f t="shared" si="0"/>
        <v>43173</v>
      </c>
      <c r="C518" s="179">
        <v>53340.793295000003</v>
      </c>
      <c r="D518" s="179"/>
      <c r="E518" s="181">
        <v>6.2589307959560761E-2</v>
      </c>
      <c r="F518" s="181" t="s">
        <v>467</v>
      </c>
      <c r="G518" s="181" t="s">
        <v>467</v>
      </c>
    </row>
    <row r="519" spans="1:7" ht="17.25" customHeight="1">
      <c r="A519" s="177" t="s">
        <v>974</v>
      </c>
      <c r="B519" s="178">
        <f t="shared" si="0"/>
        <v>43187</v>
      </c>
      <c r="C519" s="179">
        <v>19866.083121</v>
      </c>
      <c r="D519" s="179"/>
      <c r="E519" s="181">
        <v>6.2590999999999994E-2</v>
      </c>
      <c r="F519" s="181" t="s">
        <v>464</v>
      </c>
      <c r="G519" s="181" t="s">
        <v>464</v>
      </c>
    </row>
    <row r="520" spans="1:7" ht="17.25" customHeight="1">
      <c r="A520" s="177" t="s">
        <v>975</v>
      </c>
      <c r="B520" s="178">
        <f t="shared" si="0"/>
        <v>43201</v>
      </c>
      <c r="C520" s="179">
        <v>1896815.8558570002</v>
      </c>
      <c r="D520" s="179"/>
      <c r="E520" s="181">
        <v>6.2181143383504674E-2</v>
      </c>
      <c r="F520" s="181">
        <v>6.3518705579986776E-2</v>
      </c>
      <c r="G520" s="181" t="s">
        <v>464</v>
      </c>
    </row>
    <row r="521" spans="1:7" ht="17.25" customHeight="1">
      <c r="A521" s="177" t="s">
        <v>976</v>
      </c>
      <c r="B521" s="178">
        <f t="shared" si="0"/>
        <v>43215</v>
      </c>
      <c r="C521" s="179">
        <v>1476996.0330000001</v>
      </c>
      <c r="D521" s="179"/>
      <c r="E521" s="181">
        <v>6.2369000000000001E-2</v>
      </c>
      <c r="F521" s="181">
        <v>6.3495999999999997E-2</v>
      </c>
      <c r="G521" s="181" t="s">
        <v>464</v>
      </c>
    </row>
    <row r="522" spans="1:7" ht="17.25" customHeight="1">
      <c r="A522" s="177" t="s">
        <v>977</v>
      </c>
      <c r="B522" s="178">
        <f t="shared" si="0"/>
        <v>43229</v>
      </c>
      <c r="C522" s="179">
        <v>494319.84259400016</v>
      </c>
      <c r="D522" s="179"/>
      <c r="E522" s="181">
        <v>6.2556231674451901E-2</v>
      </c>
      <c r="F522" s="181">
        <v>6.3518705579986776E-2</v>
      </c>
      <c r="G522" s="181" t="s">
        <v>464</v>
      </c>
    </row>
    <row r="523" spans="1:7" ht="17.25" customHeight="1">
      <c r="A523" s="177" t="s">
        <v>978</v>
      </c>
      <c r="B523" s="178">
        <f t="shared" si="0"/>
        <v>43243</v>
      </c>
      <c r="C523" s="179">
        <v>11986.182999999999</v>
      </c>
      <c r="D523" s="179"/>
      <c r="E523" s="181">
        <v>6.2585000000000002E-2</v>
      </c>
      <c r="F523" s="181" t="s">
        <v>464</v>
      </c>
      <c r="G523" s="181" t="s">
        <v>464</v>
      </c>
    </row>
    <row r="524" spans="1:7" ht="17.25" customHeight="1">
      <c r="A524" s="177" t="s">
        <v>979</v>
      </c>
      <c r="B524" s="178">
        <f t="shared" si="0"/>
        <v>43257</v>
      </c>
      <c r="C524" s="179">
        <v>1313805.0239999997</v>
      </c>
      <c r="D524" s="179"/>
      <c r="E524" s="181">
        <v>6.720660388811299E-2</v>
      </c>
      <c r="F524" s="181">
        <v>6.8321845862593433E-2</v>
      </c>
      <c r="G524" s="181" t="s">
        <v>464</v>
      </c>
    </row>
    <row r="525" spans="1:7" ht="17.25" customHeight="1">
      <c r="A525" s="177" t="s">
        <v>980</v>
      </c>
      <c r="B525" s="178">
        <f t="shared" si="0"/>
        <v>43271</v>
      </c>
      <c r="C525" s="179">
        <v>56469.1102904</v>
      </c>
      <c r="D525" s="179"/>
      <c r="E525" s="181">
        <v>6.7595283272151432E-2</v>
      </c>
      <c r="F525" s="181" t="s">
        <v>467</v>
      </c>
      <c r="G525" s="181" t="s">
        <v>464</v>
      </c>
    </row>
    <row r="526" spans="1:7" ht="17.25" customHeight="1">
      <c r="A526" s="177" t="s">
        <v>981</v>
      </c>
      <c r="B526" s="178">
        <f t="shared" si="0"/>
        <v>43285</v>
      </c>
      <c r="C526" s="179">
        <v>351731.46846617968</v>
      </c>
      <c r="D526" s="179"/>
      <c r="E526" s="181">
        <v>6.7574999999999996E-2</v>
      </c>
      <c r="F526" s="181" t="s">
        <v>464</v>
      </c>
      <c r="G526" s="181" t="s">
        <v>464</v>
      </c>
    </row>
    <row r="527" spans="1:7" ht="17.25" customHeight="1">
      <c r="A527" s="177" t="s">
        <v>982</v>
      </c>
      <c r="B527" s="178">
        <f t="shared" si="0"/>
        <v>43299</v>
      </c>
      <c r="C527" s="179">
        <v>3181189.8845270802</v>
      </c>
      <c r="D527" s="179"/>
      <c r="E527" s="181">
        <v>7.7212866614050052E-2</v>
      </c>
      <c r="F527" s="181">
        <v>7.8525888443587349E-2</v>
      </c>
      <c r="G527" s="181" t="s">
        <v>464</v>
      </c>
    </row>
    <row r="528" spans="1:7" ht="17.25" customHeight="1">
      <c r="A528" s="177" t="s">
        <v>983</v>
      </c>
      <c r="B528" s="178">
        <f t="shared" si="0"/>
        <v>43313</v>
      </c>
      <c r="C528" s="179">
        <v>933801.87372962025</v>
      </c>
      <c r="D528" s="179"/>
      <c r="E528" s="181">
        <v>7.7460000000000001E-2</v>
      </c>
      <c r="F528" s="181" t="s">
        <v>464</v>
      </c>
      <c r="G528" s="181" t="s">
        <v>464</v>
      </c>
    </row>
    <row r="529" spans="1:7" ht="16.149999999999999">
      <c r="A529" s="177" t="s">
        <v>984</v>
      </c>
      <c r="B529" s="178">
        <f t="shared" si="0"/>
        <v>43327</v>
      </c>
      <c r="C529" s="179">
        <v>48348.023999999998</v>
      </c>
      <c r="D529" s="179"/>
      <c r="E529" s="181">
        <v>7.7313172284384848E-2</v>
      </c>
      <c r="F529" s="181" t="s">
        <v>464</v>
      </c>
      <c r="G529" s="181" t="s">
        <v>464</v>
      </c>
    </row>
    <row r="530" spans="1:7" ht="16.149999999999999">
      <c r="A530" s="177" t="s">
        <v>985</v>
      </c>
      <c r="B530" s="178">
        <f t="shared" si="0"/>
        <v>43341</v>
      </c>
      <c r="C530" s="179">
        <v>49624.113112999992</v>
      </c>
      <c r="D530" s="179"/>
      <c r="E530" s="181">
        <v>7.7499999999999999E-2</v>
      </c>
      <c r="F530" s="181" t="s">
        <v>464</v>
      </c>
      <c r="G530" s="181" t="s">
        <v>464</v>
      </c>
    </row>
    <row r="531" spans="1:7" ht="16.149999999999999">
      <c r="A531" s="177" t="s">
        <v>986</v>
      </c>
      <c r="B531" s="178">
        <f t="shared" si="0"/>
        <v>43355</v>
      </c>
      <c r="C531" s="179">
        <v>31619.627654249995</v>
      </c>
      <c r="D531" s="179"/>
      <c r="E531" s="181">
        <v>7.7499999999999999E-2</v>
      </c>
      <c r="F531" s="181" t="s">
        <v>464</v>
      </c>
      <c r="G531" s="181" t="s">
        <v>464</v>
      </c>
    </row>
    <row r="532" spans="1:7" ht="16.149999999999999">
      <c r="A532" s="177" t="s">
        <v>987</v>
      </c>
      <c r="B532" s="178">
        <f t="shared" si="0"/>
        <v>43369</v>
      </c>
      <c r="C532" s="179">
        <v>9557.8260819999996</v>
      </c>
      <c r="D532" s="179"/>
      <c r="E532" s="181">
        <v>7.7499999999999999E-2</v>
      </c>
      <c r="F532" s="181" t="s">
        <v>464</v>
      </c>
      <c r="G532" s="181" t="s">
        <v>464</v>
      </c>
    </row>
    <row r="533" spans="1:7" ht="16.149999999999999">
      <c r="A533" s="177" t="s">
        <v>988</v>
      </c>
      <c r="B533" s="178">
        <f t="shared" si="0"/>
        <v>43383</v>
      </c>
      <c r="C533" s="179">
        <v>2669897.5768437735</v>
      </c>
      <c r="D533" s="179"/>
      <c r="E533" s="181">
        <v>8.7403901388694472E-2</v>
      </c>
      <c r="F533" s="181">
        <v>8.824049030598341E-2</v>
      </c>
      <c r="G533" s="181" t="s">
        <v>464</v>
      </c>
    </row>
    <row r="534" spans="1:7" ht="16.149999999999999">
      <c r="A534" s="177" t="s">
        <v>989</v>
      </c>
      <c r="B534" s="178">
        <f t="shared" si="0"/>
        <v>43397</v>
      </c>
      <c r="C534" s="179">
        <v>587988.03799999994</v>
      </c>
      <c r="D534" s="179"/>
      <c r="E534" s="181">
        <v>8.7918999999999997E-2</v>
      </c>
      <c r="F534" s="181" t="s">
        <v>464</v>
      </c>
      <c r="G534" s="181" t="s">
        <v>464</v>
      </c>
    </row>
    <row r="535" spans="1:7" ht="16.149999999999999">
      <c r="A535" s="177" t="s">
        <v>990</v>
      </c>
      <c r="B535" s="178">
        <f t="shared" si="0"/>
        <v>43411</v>
      </c>
      <c r="C535" s="179">
        <v>11330.977991199999</v>
      </c>
      <c r="D535" s="179"/>
      <c r="E535" s="181">
        <v>8.7980000000000003E-2</v>
      </c>
      <c r="F535" s="181" t="s">
        <v>464</v>
      </c>
      <c r="G535" s="181" t="s">
        <v>464</v>
      </c>
    </row>
    <row r="536" spans="1:7" ht="16.149999999999999">
      <c r="A536" s="177" t="s">
        <v>991</v>
      </c>
      <c r="B536" s="184">
        <v>43424</v>
      </c>
      <c r="C536" s="179">
        <v>7447.4013560000003</v>
      </c>
      <c r="D536" s="179"/>
      <c r="E536" s="181">
        <v>8.7981000000000004E-2</v>
      </c>
      <c r="F536" s="181" t="s">
        <v>467</v>
      </c>
      <c r="G536" s="181" t="s">
        <v>464</v>
      </c>
    </row>
    <row r="537" spans="1:7" ht="16.149999999999999">
      <c r="A537" s="177" t="s">
        <v>992</v>
      </c>
      <c r="B537" s="184">
        <v>43439</v>
      </c>
      <c r="C537" s="179">
        <v>2016518.1407321985</v>
      </c>
      <c r="D537" s="179"/>
      <c r="E537" s="181">
        <v>0.10267</v>
      </c>
      <c r="F537" s="181">
        <v>0.10349884886520268</v>
      </c>
      <c r="G537" s="181" t="s">
        <v>464</v>
      </c>
    </row>
    <row r="538" spans="1:7" ht="16.149999999999999">
      <c r="A538" s="177" t="s">
        <v>993</v>
      </c>
      <c r="B538" s="184">
        <f t="shared" ref="B538:B549" si="1">B537+14</f>
        <v>43453</v>
      </c>
      <c r="C538" s="179">
        <v>23974.694916</v>
      </c>
      <c r="D538" s="179"/>
      <c r="E538" s="181">
        <v>0.10296648290164667</v>
      </c>
      <c r="F538" s="181" t="s">
        <v>467</v>
      </c>
      <c r="G538" s="181" t="s">
        <v>464</v>
      </c>
    </row>
    <row r="539" spans="1:7" ht="16.149999999999999">
      <c r="A539" s="177" t="s">
        <v>994</v>
      </c>
      <c r="B539" s="184">
        <f t="shared" si="1"/>
        <v>43467</v>
      </c>
      <c r="C539" s="179">
        <v>577246.82564279961</v>
      </c>
      <c r="D539" s="179"/>
      <c r="E539" s="181">
        <v>0.10300363616965834</v>
      </c>
      <c r="F539" s="181" t="s">
        <v>464</v>
      </c>
      <c r="G539" s="181" t="s">
        <v>464</v>
      </c>
    </row>
    <row r="540" spans="1:7" ht="16.149999999999999">
      <c r="A540" s="177" t="s">
        <v>995</v>
      </c>
      <c r="B540" s="184">
        <f t="shared" si="1"/>
        <v>43481</v>
      </c>
      <c r="C540" s="179">
        <v>273520.19136939995</v>
      </c>
      <c r="D540" s="179"/>
      <c r="E540" s="181">
        <v>0.10301200000000001</v>
      </c>
      <c r="F540" s="181" t="s">
        <v>464</v>
      </c>
      <c r="G540" s="181" t="s">
        <v>464</v>
      </c>
    </row>
    <row r="541" spans="1:7" ht="16.149999999999999">
      <c r="A541" s="177" t="s">
        <v>996</v>
      </c>
      <c r="B541" s="184">
        <f t="shared" si="1"/>
        <v>43495</v>
      </c>
      <c r="C541" s="179">
        <v>111356.784</v>
      </c>
      <c r="D541" s="179"/>
      <c r="E541" s="181">
        <v>0.10301</v>
      </c>
      <c r="F541" s="181" t="s">
        <v>467</v>
      </c>
      <c r="G541" s="181" t="s">
        <v>464</v>
      </c>
    </row>
    <row r="542" spans="1:7" ht="16.149999999999999">
      <c r="A542" s="177" t="s">
        <v>997</v>
      </c>
      <c r="B542" s="184">
        <f t="shared" si="1"/>
        <v>43509</v>
      </c>
      <c r="C542" s="179">
        <v>2127279.6549999998</v>
      </c>
      <c r="D542" s="179"/>
      <c r="E542" s="181">
        <v>0.10527818062285131</v>
      </c>
      <c r="F542" s="181">
        <v>0.10595285087240627</v>
      </c>
      <c r="G542" s="181" t="s">
        <v>464</v>
      </c>
    </row>
    <row r="543" spans="1:7" ht="16.149999999999999">
      <c r="A543" s="177" t="s">
        <v>998</v>
      </c>
      <c r="B543" s="184">
        <f t="shared" si="1"/>
        <v>43523</v>
      </c>
      <c r="C543" s="179">
        <v>488795.19100000005</v>
      </c>
      <c r="D543" s="179"/>
      <c r="E543" s="181">
        <v>0.10549799999999999</v>
      </c>
      <c r="F543" s="181" t="s">
        <v>464</v>
      </c>
      <c r="G543" s="181" t="s">
        <v>464</v>
      </c>
    </row>
    <row r="544" spans="1:7" ht="16.149999999999999">
      <c r="A544" s="177" t="s">
        <v>999</v>
      </c>
      <c r="B544" s="184">
        <f t="shared" si="1"/>
        <v>43537</v>
      </c>
      <c r="C544" s="179">
        <v>14002.026</v>
      </c>
      <c r="D544" s="179"/>
      <c r="E544" s="181">
        <v>0.10549225419371464</v>
      </c>
      <c r="F544" s="181" t="s">
        <v>464</v>
      </c>
      <c r="G544" s="181" t="s">
        <v>464</v>
      </c>
    </row>
    <row r="545" spans="1:7" ht="16.149999999999999">
      <c r="A545" s="177" t="s">
        <v>1000</v>
      </c>
      <c r="B545" s="184">
        <f t="shared" si="1"/>
        <v>43551</v>
      </c>
      <c r="C545" s="179">
        <v>11517.932999999999</v>
      </c>
      <c r="D545" s="179"/>
      <c r="E545" s="181">
        <v>0.10542799701389977</v>
      </c>
      <c r="F545" s="181" t="s">
        <v>464</v>
      </c>
      <c r="G545" s="181" t="s">
        <v>464</v>
      </c>
    </row>
    <row r="546" spans="1:7" ht="16.149999999999999">
      <c r="A546" s="177" t="s">
        <v>1001</v>
      </c>
      <c r="B546" s="184">
        <f t="shared" si="1"/>
        <v>43565</v>
      </c>
      <c r="C546" s="179">
        <v>444602.76099999994</v>
      </c>
      <c r="D546" s="179"/>
      <c r="E546" s="181">
        <v>0.10997188212573851</v>
      </c>
      <c r="F546" s="181">
        <v>0.11089902077660613</v>
      </c>
      <c r="G546" s="181" t="s">
        <v>464</v>
      </c>
    </row>
    <row r="547" spans="1:7" ht="16.149999999999999">
      <c r="A547" s="177" t="s">
        <v>1002</v>
      </c>
      <c r="B547" s="184">
        <f t="shared" si="1"/>
        <v>43579</v>
      </c>
      <c r="C547" s="179">
        <v>622809.95899999992</v>
      </c>
      <c r="D547" s="179"/>
      <c r="E547" s="181">
        <v>0.10950345933685265</v>
      </c>
      <c r="F547" s="181" t="s">
        <v>467</v>
      </c>
      <c r="G547" s="181" t="s">
        <v>464</v>
      </c>
    </row>
    <row r="548" spans="1:7" ht="16.149999999999999">
      <c r="A548" s="177" t="s">
        <v>1003</v>
      </c>
      <c r="B548" s="184">
        <f t="shared" si="1"/>
        <v>43593</v>
      </c>
      <c r="C548" s="179">
        <v>588389.62800000003</v>
      </c>
      <c r="D548" s="179"/>
      <c r="E548" s="181">
        <v>0.11001137048920706</v>
      </c>
      <c r="F548" s="181" t="s">
        <v>464</v>
      </c>
      <c r="G548" s="181" t="s">
        <v>464</v>
      </c>
    </row>
    <row r="549" spans="1:7" ht="16.149999999999999">
      <c r="A549" s="177" t="s">
        <v>1004</v>
      </c>
      <c r="B549" s="184">
        <f t="shared" si="1"/>
        <v>43607</v>
      </c>
      <c r="C549" s="179">
        <v>3139518.9699559999</v>
      </c>
      <c r="D549" s="179"/>
      <c r="E549" s="181">
        <v>0.12574702448666567</v>
      </c>
      <c r="F549" s="181">
        <v>0.12695782999932076</v>
      </c>
      <c r="G549" s="181" t="s">
        <v>464</v>
      </c>
    </row>
    <row r="550" spans="1:7" ht="16.149999999999999">
      <c r="A550" s="177" t="s">
        <v>1005</v>
      </c>
      <c r="B550" s="184">
        <f>B549+12</f>
        <v>43619</v>
      </c>
      <c r="C550" s="179">
        <v>108283.647</v>
      </c>
      <c r="D550" s="179"/>
      <c r="E550" s="181">
        <v>0.12745290192180542</v>
      </c>
      <c r="F550" s="181" t="s">
        <v>464</v>
      </c>
      <c r="G550" s="181">
        <v>0.13149978259581602</v>
      </c>
    </row>
    <row r="551" spans="1:7" ht="16.149999999999999">
      <c r="A551" s="177" t="s">
        <v>1006</v>
      </c>
      <c r="B551" s="184">
        <f>B550+16</f>
        <v>43635</v>
      </c>
      <c r="C551" s="179">
        <v>26627.277999999998</v>
      </c>
      <c r="D551" s="179"/>
      <c r="E551" s="181">
        <v>0.12738099999999999</v>
      </c>
      <c r="F551" s="181" t="s">
        <v>467</v>
      </c>
      <c r="G551" s="181" t="s">
        <v>467</v>
      </c>
    </row>
    <row r="552" spans="1:7" ht="16.149999999999999">
      <c r="A552" s="177" t="s">
        <v>1007</v>
      </c>
      <c r="B552" s="184">
        <f>B551+14</f>
        <v>43649</v>
      </c>
      <c r="C552" s="179">
        <v>110868.72772810006</v>
      </c>
      <c r="D552" s="179"/>
      <c r="E552" s="181">
        <v>0.12742160571406153</v>
      </c>
      <c r="F552" s="181" t="s">
        <v>467</v>
      </c>
      <c r="G552" s="181" t="s">
        <v>467</v>
      </c>
    </row>
    <row r="553" spans="1:7" ht="16.149999999999999">
      <c r="A553" s="177" t="s">
        <v>1008</v>
      </c>
      <c r="B553" s="184">
        <f>B552+14</f>
        <v>43663</v>
      </c>
      <c r="C553" s="179">
        <v>2235099.5291499998</v>
      </c>
      <c r="D553" s="179"/>
      <c r="E553" s="181">
        <v>0.13662799195098027</v>
      </c>
      <c r="F553" s="181">
        <v>0.13847941383285323</v>
      </c>
      <c r="G553" s="181">
        <v>0.14016678952759226</v>
      </c>
    </row>
    <row r="554" spans="1:7" ht="16.149999999999999">
      <c r="A554" s="177" t="s">
        <v>1009</v>
      </c>
      <c r="B554" s="184">
        <f>B553+14</f>
        <v>43677</v>
      </c>
      <c r="C554" s="179">
        <v>875139.74532133085</v>
      </c>
      <c r="D554" s="179"/>
      <c r="E554" s="181">
        <v>0.13745666638830098</v>
      </c>
      <c r="F554" s="181">
        <v>0.13949769438283552</v>
      </c>
      <c r="G554" s="181">
        <v>0.14155720104453104</v>
      </c>
    </row>
    <row r="555" spans="1:7" ht="16.149999999999999">
      <c r="A555" s="177" t="s">
        <v>1010</v>
      </c>
      <c r="B555" s="184">
        <f>B554+7</f>
        <v>43684</v>
      </c>
      <c r="C555" s="179">
        <v>1228910.0649999999</v>
      </c>
      <c r="D555" s="179"/>
      <c r="E555" s="181">
        <v>0.1374829707495735</v>
      </c>
      <c r="F555" s="181">
        <v>0.1393886606881504</v>
      </c>
      <c r="G555" s="181">
        <v>0.14216899854933224</v>
      </c>
    </row>
    <row r="556" spans="1:7" ht="16.149999999999999">
      <c r="A556" s="177" t="s">
        <v>1011</v>
      </c>
      <c r="B556" s="184">
        <f>B555+21</f>
        <v>43705</v>
      </c>
      <c r="C556" s="179">
        <v>700511.299</v>
      </c>
      <c r="D556" s="179"/>
      <c r="E556" s="181">
        <v>0.13748950496596324</v>
      </c>
      <c r="F556" s="181">
        <v>0.1393987580938722</v>
      </c>
      <c r="G556" s="181">
        <v>0.14188031761599754</v>
      </c>
    </row>
    <row r="557" spans="1:7" ht="16.149999999999999">
      <c r="A557" s="177" t="s">
        <v>1012</v>
      </c>
      <c r="B557" s="184">
        <f t="shared" ref="B557:B564" si="2">B556+14</f>
        <v>43719</v>
      </c>
      <c r="C557" s="179">
        <v>461373.34</v>
      </c>
      <c r="D557" s="179"/>
      <c r="E557" s="181">
        <v>0.13736116827089043</v>
      </c>
      <c r="F557" s="181">
        <v>0.13906414493941072</v>
      </c>
      <c r="G557" s="181">
        <v>0.13831209237513173</v>
      </c>
    </row>
    <row r="558" spans="1:7" ht="16.149999999999999">
      <c r="A558" s="177" t="s">
        <v>1013</v>
      </c>
      <c r="B558" s="184">
        <f t="shared" si="2"/>
        <v>43733</v>
      </c>
      <c r="C558" s="179">
        <v>512338.72599999997</v>
      </c>
      <c r="D558" s="179"/>
      <c r="E558" s="181">
        <v>0.13717909934550446</v>
      </c>
      <c r="F558" s="181">
        <v>0.13829019596574782</v>
      </c>
      <c r="G558" s="181">
        <v>0.13765143889520534</v>
      </c>
    </row>
    <row r="559" spans="1:7" ht="16.149999999999999">
      <c r="A559" s="177" t="s">
        <v>1014</v>
      </c>
      <c r="B559" s="184">
        <f t="shared" si="2"/>
        <v>43747</v>
      </c>
      <c r="C559" s="179">
        <v>810672.80423500005</v>
      </c>
      <c r="D559" s="179"/>
      <c r="E559" s="181">
        <v>0.1363905630956217</v>
      </c>
      <c r="F559" s="181">
        <v>0.13554949571668024</v>
      </c>
      <c r="G559" s="181">
        <v>0.13427159897313828</v>
      </c>
    </row>
    <row r="560" spans="1:7" ht="16.149999999999999">
      <c r="A560" s="177" t="s">
        <v>1015</v>
      </c>
      <c r="B560" s="184">
        <f t="shared" si="2"/>
        <v>43761</v>
      </c>
      <c r="C560" s="179">
        <v>621977.41899999999</v>
      </c>
      <c r="D560" s="179"/>
      <c r="E560" s="181">
        <v>0.13250400000000001</v>
      </c>
      <c r="F560" s="181">
        <v>0.132468</v>
      </c>
      <c r="G560" s="181">
        <v>0.12740499999999999</v>
      </c>
    </row>
    <row r="561" spans="1:9" ht="16.149999999999999">
      <c r="A561" s="177" t="s">
        <v>1016</v>
      </c>
      <c r="B561" s="184">
        <f t="shared" si="2"/>
        <v>43775</v>
      </c>
      <c r="C561" s="179">
        <v>844161.52800000005</v>
      </c>
      <c r="D561" s="179"/>
      <c r="E561" s="181">
        <v>0.13170258701928558</v>
      </c>
      <c r="F561" s="181">
        <v>0.13209718698425685</v>
      </c>
      <c r="G561" s="181">
        <v>0.12712653996449841</v>
      </c>
    </row>
    <row r="562" spans="1:9" ht="16.149999999999999">
      <c r="A562" s="177" t="s">
        <v>1017</v>
      </c>
      <c r="B562" s="184">
        <f t="shared" si="2"/>
        <v>43789</v>
      </c>
      <c r="C562" s="179">
        <v>243809.36300000001</v>
      </c>
      <c r="D562" s="179"/>
      <c r="E562" s="181">
        <v>0.13460770775543673</v>
      </c>
      <c r="F562" s="181">
        <v>0.13276643884294956</v>
      </c>
      <c r="G562" s="181">
        <v>0.13036478542847738</v>
      </c>
    </row>
    <row r="563" spans="1:9" ht="16.149999999999999">
      <c r="A563" s="177" t="s">
        <v>1018</v>
      </c>
      <c r="B563" s="184">
        <f t="shared" si="2"/>
        <v>43803</v>
      </c>
      <c r="C563" s="179">
        <v>370327.79700000002</v>
      </c>
      <c r="D563" s="179"/>
      <c r="E563" s="181">
        <v>0.13512072242112516</v>
      </c>
      <c r="F563" s="181">
        <v>0.13288816621993021</v>
      </c>
      <c r="G563" s="181">
        <v>0.13064478222907638</v>
      </c>
    </row>
    <row r="564" spans="1:9" ht="16.149999999999999">
      <c r="A564" s="177" t="s">
        <v>1019</v>
      </c>
      <c r="B564" s="184">
        <f t="shared" si="2"/>
        <v>43817</v>
      </c>
      <c r="C564" s="179">
        <v>449271.43300000002</v>
      </c>
      <c r="D564" s="179"/>
      <c r="E564" s="181">
        <v>0.13454939363018092</v>
      </c>
      <c r="F564" s="181">
        <v>0.13267780158309761</v>
      </c>
      <c r="G564" s="181">
        <v>0.13022042979680351</v>
      </c>
    </row>
    <row r="565" spans="1:9" ht="16.149999999999999">
      <c r="A565" s="177" t="s">
        <v>1020</v>
      </c>
      <c r="B565" s="184">
        <f>B564+13</f>
        <v>43830</v>
      </c>
      <c r="C565" s="179">
        <v>469254.60499999998</v>
      </c>
      <c r="D565" s="179"/>
      <c r="E565" s="181">
        <v>0.13446237394873978</v>
      </c>
      <c r="F565" s="181">
        <v>0.13287513352874664</v>
      </c>
      <c r="G565" s="181">
        <v>0.13106815321571505</v>
      </c>
    </row>
    <row r="566" spans="1:9" s="8" customFormat="1" ht="49.9" customHeight="1">
      <c r="A566" s="236"/>
      <c r="B566" s="237" t="s">
        <v>1021</v>
      </c>
      <c r="C566" s="238"/>
      <c r="D566" s="238"/>
      <c r="E566" s="239">
        <f>AVERAGE(E539:E565)</f>
        <v>0.12337578005985399</v>
      </c>
      <c r="F566" s="239">
        <f>AVERAGE(F539:F565)</f>
        <v>0.13182817452667903</v>
      </c>
      <c r="G566" s="239">
        <f>AVERAGE(G539:G565)</f>
        <v>0.13459556501509393</v>
      </c>
    </row>
    <row r="567" spans="1:9" s="8" customFormat="1" ht="42.6" customHeight="1">
      <c r="A567" s="236"/>
      <c r="B567" s="237" t="s">
        <v>1022</v>
      </c>
      <c r="C567" s="238"/>
      <c r="D567" s="238"/>
      <c r="E567" s="340">
        <f>AVERAGE(E566:G566)</f>
        <v>0.12993317320054232</v>
      </c>
      <c r="F567" s="341"/>
      <c r="G567" s="342"/>
      <c r="H567" s="240"/>
      <c r="I567" s="240"/>
    </row>
    <row r="568" spans="1:9" ht="16.149999999999999">
      <c r="A568" s="177" t="s">
        <v>1023</v>
      </c>
      <c r="B568" s="184">
        <f>B565+15</f>
        <v>43845</v>
      </c>
      <c r="C568" s="179">
        <v>308955.36200000002</v>
      </c>
      <c r="D568" s="179"/>
      <c r="E568" s="181">
        <v>0.13443779310898635</v>
      </c>
      <c r="F568" s="181">
        <v>0.13205081088804857</v>
      </c>
      <c r="G568" s="181">
        <v>0.13079502631916107</v>
      </c>
    </row>
    <row r="569" spans="1:9" ht="16.149999999999999">
      <c r="A569" s="177" t="s">
        <v>1024</v>
      </c>
      <c r="B569" s="184">
        <f t="shared" ref="B569:B579" si="3">B568+14</f>
        <v>43859</v>
      </c>
      <c r="C569" s="179">
        <v>604511.89612000005</v>
      </c>
      <c r="D569" s="179"/>
      <c r="E569" s="181">
        <v>0.13388529765743193</v>
      </c>
      <c r="F569" s="181">
        <v>0.13235143810815378</v>
      </c>
      <c r="G569" s="181">
        <v>0.13115754781457997</v>
      </c>
    </row>
    <row r="570" spans="1:9" ht="16.149999999999999">
      <c r="A570" s="177" t="s">
        <v>1025</v>
      </c>
      <c r="B570" s="184">
        <f t="shared" si="3"/>
        <v>43873</v>
      </c>
      <c r="C570" s="179">
        <v>272722.96000000002</v>
      </c>
      <c r="D570" s="179"/>
      <c r="E570" s="181">
        <v>0.134022</v>
      </c>
      <c r="F570" s="181">
        <v>0.13299900000000001</v>
      </c>
      <c r="G570" s="181">
        <v>0.13395000000000001</v>
      </c>
    </row>
    <row r="571" spans="1:9" ht="16.149999999999999">
      <c r="A571" s="177" t="s">
        <v>1026</v>
      </c>
      <c r="B571" s="184">
        <f t="shared" si="3"/>
        <v>43887</v>
      </c>
      <c r="C571" s="179">
        <v>414121.93299999996</v>
      </c>
      <c r="D571" s="179"/>
      <c r="E571" s="181">
        <v>0.13381143170690904</v>
      </c>
      <c r="F571" s="181">
        <v>0.13340075873471219</v>
      </c>
      <c r="G571" s="181">
        <v>0.13289839571294057</v>
      </c>
    </row>
    <row r="572" spans="1:9" ht="16.149999999999999">
      <c r="A572" s="177" t="s">
        <v>1027</v>
      </c>
      <c r="B572" s="184">
        <f t="shared" si="3"/>
        <v>43901</v>
      </c>
      <c r="C572" s="179">
        <v>354315.35100000002</v>
      </c>
      <c r="D572" s="179"/>
      <c r="E572" s="181">
        <v>0.12688656984791952</v>
      </c>
      <c r="F572" s="181">
        <v>0.12478823800996978</v>
      </c>
      <c r="G572" s="181">
        <v>0.11978626920739952</v>
      </c>
    </row>
    <row r="573" spans="1:9" ht="16.149999999999999">
      <c r="A573" s="177" t="s">
        <v>1028</v>
      </c>
      <c r="B573" s="184">
        <f t="shared" si="3"/>
        <v>43915</v>
      </c>
      <c r="C573" s="179">
        <v>554246.53599999996</v>
      </c>
      <c r="D573" s="179"/>
      <c r="E573" s="181">
        <v>0.11217397455591618</v>
      </c>
      <c r="F573" s="181">
        <v>0.11189470879191882</v>
      </c>
      <c r="G573" s="181">
        <v>0.10670627898291248</v>
      </c>
    </row>
    <row r="574" spans="1:9" ht="16.149999999999999">
      <c r="A574" s="177" t="s">
        <v>1029</v>
      </c>
      <c r="B574" s="184">
        <f t="shared" si="3"/>
        <v>43929</v>
      </c>
      <c r="C574" s="179">
        <v>518068.93799999997</v>
      </c>
      <c r="D574" s="179"/>
      <c r="E574" s="181">
        <v>0.10804886962532463</v>
      </c>
      <c r="F574" s="181">
        <v>0.10256993964507405</v>
      </c>
      <c r="G574" s="181">
        <v>9.5674399318338099E-2</v>
      </c>
    </row>
    <row r="575" spans="1:9" ht="16.149999999999999">
      <c r="A575" s="177" t="s">
        <v>1030</v>
      </c>
      <c r="B575" s="184">
        <f t="shared" si="3"/>
        <v>43943</v>
      </c>
      <c r="C575" s="179">
        <v>484147.61100000003</v>
      </c>
      <c r="D575" s="179"/>
      <c r="E575" s="181">
        <v>8.2140052823692855E-2</v>
      </c>
      <c r="F575" s="181">
        <v>7.8829228052170963E-2</v>
      </c>
      <c r="G575" s="181">
        <v>7.3216429494201901E-2</v>
      </c>
    </row>
    <row r="576" spans="1:9" ht="16.149999999999999">
      <c r="A576" s="177" t="s">
        <v>1031</v>
      </c>
      <c r="B576" s="184">
        <f t="shared" si="3"/>
        <v>43957</v>
      </c>
      <c r="C576" s="179">
        <v>402126.33899999998</v>
      </c>
      <c r="D576" s="179"/>
      <c r="E576" s="181">
        <v>8.093120545155387E-2</v>
      </c>
      <c r="F576" s="181">
        <v>7.8447240936577289E-2</v>
      </c>
      <c r="G576" s="181">
        <v>7.4291574579198438E-2</v>
      </c>
    </row>
    <row r="577" spans="1:7" ht="16.149999999999999">
      <c r="A577" s="177" t="s">
        <v>1032</v>
      </c>
      <c r="B577" s="184">
        <f t="shared" si="3"/>
        <v>43971</v>
      </c>
      <c r="C577" s="179">
        <v>215237.13699999999</v>
      </c>
      <c r="D577" s="179"/>
      <c r="E577" s="181">
        <v>8.1207346991941792E-2</v>
      </c>
      <c r="F577" s="181">
        <v>7.7465114987311068E-2</v>
      </c>
      <c r="G577" s="181">
        <v>7.6795309650762547E-2</v>
      </c>
    </row>
    <row r="578" spans="1:7" ht="16.149999999999999">
      <c r="A578" s="177" t="s">
        <v>1033</v>
      </c>
      <c r="B578" s="184">
        <f t="shared" si="3"/>
        <v>43985</v>
      </c>
      <c r="C578" s="179">
        <v>163787.628</v>
      </c>
      <c r="D578" s="179"/>
      <c r="E578" s="181">
        <v>8.0377267972789795E-2</v>
      </c>
      <c r="F578" s="181">
        <v>7.816961994174082E-2</v>
      </c>
      <c r="G578" s="181">
        <v>7.6897695716760431E-2</v>
      </c>
    </row>
    <row r="579" spans="1:7" ht="16.149999999999999">
      <c r="A579" s="177" t="s">
        <v>1034</v>
      </c>
      <c r="B579" s="184">
        <f t="shared" si="3"/>
        <v>43999</v>
      </c>
      <c r="C579" s="179">
        <v>74665.875</v>
      </c>
      <c r="D579" s="179"/>
      <c r="E579" s="181">
        <v>7.6896714894602883E-2</v>
      </c>
      <c r="F579" s="181">
        <v>7.4785655037087909E-2</v>
      </c>
      <c r="G579" s="181">
        <v>7.2892301299390019E-2</v>
      </c>
    </row>
    <row r="580" spans="1:7" ht="16.149999999999999">
      <c r="A580" s="177" t="s">
        <v>1035</v>
      </c>
      <c r="B580" s="184">
        <f>B579+13</f>
        <v>44012</v>
      </c>
      <c r="C580" s="179">
        <v>52170.347999999998</v>
      </c>
      <c r="D580" s="179"/>
      <c r="E580" s="181">
        <v>6.8487784475515956E-2</v>
      </c>
      <c r="F580" s="181">
        <v>6.6599162585768118E-2</v>
      </c>
      <c r="G580" s="181">
        <v>6.8500498455482506E-2</v>
      </c>
    </row>
    <row r="581" spans="1:7" ht="16.149999999999999">
      <c r="A581" s="177" t="s">
        <v>1036</v>
      </c>
      <c r="B581" s="184">
        <f>B580+15</f>
        <v>44027</v>
      </c>
      <c r="C581" s="179">
        <v>259456.86568699998</v>
      </c>
      <c r="D581" s="179"/>
      <c r="E581" s="181">
        <v>6.4266560010663817E-2</v>
      </c>
      <c r="F581" s="181">
        <v>6.4666431243589242E-2</v>
      </c>
      <c r="G581" s="181">
        <v>6.5474515559748148E-2</v>
      </c>
    </row>
    <row r="582" spans="1:7" ht="16.149999999999999">
      <c r="A582" s="177" t="s">
        <v>1037</v>
      </c>
      <c r="B582" s="184">
        <f t="shared" ref="B582:B597" si="4">B581+14</f>
        <v>44041</v>
      </c>
      <c r="C582" s="179">
        <v>173150.59599999999</v>
      </c>
      <c r="D582" s="179"/>
      <c r="E582" s="181">
        <v>6.8733725807988921E-2</v>
      </c>
      <c r="F582" s="181">
        <v>7.0133999766506624E-2</v>
      </c>
      <c r="G582" s="181">
        <v>7.1054059509782025E-2</v>
      </c>
    </row>
    <row r="583" spans="1:7" ht="16.149999999999999">
      <c r="A583" s="177" t="s">
        <v>1038</v>
      </c>
      <c r="B583" s="184">
        <f t="shared" si="4"/>
        <v>44055</v>
      </c>
      <c r="C583" s="179">
        <v>110956.30499999999</v>
      </c>
      <c r="D583" s="179"/>
      <c r="E583" s="181">
        <v>6.9833247739282539E-2</v>
      </c>
      <c r="F583" s="181">
        <v>7.144895427013305E-2</v>
      </c>
      <c r="G583" s="181">
        <v>7.1499730726013663E-2</v>
      </c>
    </row>
    <row r="584" spans="1:7" ht="16.149999999999999">
      <c r="A584" s="177" t="s">
        <v>1039</v>
      </c>
      <c r="B584" s="184">
        <f t="shared" si="4"/>
        <v>44069</v>
      </c>
      <c r="C584" s="179">
        <v>531818.40999999992</v>
      </c>
      <c r="D584" s="179"/>
      <c r="E584" s="181">
        <v>7.0915648117919783E-2</v>
      </c>
      <c r="F584" s="181">
        <v>7.1551058771270423E-2</v>
      </c>
      <c r="G584" s="181">
        <v>7.256201282194881E-2</v>
      </c>
    </row>
    <row r="585" spans="1:7" ht="16.149999999999999">
      <c r="A585" s="177" t="s">
        <v>1040</v>
      </c>
      <c r="B585" s="184">
        <f t="shared" si="4"/>
        <v>44083</v>
      </c>
      <c r="C585" s="179">
        <v>353806.47699999996</v>
      </c>
      <c r="D585" s="179"/>
      <c r="E585" s="181">
        <v>7.1161399361229352E-2</v>
      </c>
      <c r="F585" s="181">
        <v>7.1724047720372913E-2</v>
      </c>
      <c r="G585" s="181">
        <v>7.29436240022069E-2</v>
      </c>
    </row>
    <row r="586" spans="1:7" ht="16.149999999999999">
      <c r="A586" s="177" t="s">
        <v>1041</v>
      </c>
      <c r="B586" s="184">
        <f t="shared" si="4"/>
        <v>44097</v>
      </c>
      <c r="C586" s="179">
        <v>499761.07700000005</v>
      </c>
      <c r="D586" s="179"/>
      <c r="E586" s="181">
        <v>7.0983440943714352E-2</v>
      </c>
      <c r="F586" s="181">
        <v>7.1686272646390325E-2</v>
      </c>
      <c r="G586" s="181">
        <v>7.2976668271277911E-2</v>
      </c>
    </row>
    <row r="587" spans="1:7" ht="16.149999999999999">
      <c r="A587" s="177" t="s">
        <v>1042</v>
      </c>
      <c r="B587" s="184">
        <f t="shared" si="4"/>
        <v>44111</v>
      </c>
      <c r="C587" s="179">
        <v>670609.04399999999</v>
      </c>
      <c r="D587" s="179"/>
      <c r="E587" s="181">
        <v>7.1177921156495808E-2</v>
      </c>
      <c r="F587" s="181">
        <v>7.1853906613290372E-2</v>
      </c>
      <c r="G587" s="181">
        <v>7.2752611446926352E-2</v>
      </c>
    </row>
    <row r="588" spans="1:7" ht="16.149999999999999">
      <c r="A588" s="177" t="s">
        <v>1043</v>
      </c>
      <c r="B588" s="184">
        <f t="shared" si="4"/>
        <v>44125</v>
      </c>
      <c r="C588" s="179">
        <v>387153.16900000005</v>
      </c>
      <c r="D588" s="179"/>
      <c r="E588" s="181">
        <v>7.1579874394830462E-2</v>
      </c>
      <c r="F588" s="181">
        <v>7.1999717278649192E-2</v>
      </c>
      <c r="G588" s="181" t="s">
        <v>467</v>
      </c>
    </row>
    <row r="589" spans="1:7" ht="16.149999999999999">
      <c r="A589" s="177" t="s">
        <v>1044</v>
      </c>
      <c r="B589" s="184">
        <f t="shared" si="4"/>
        <v>44139</v>
      </c>
      <c r="C589" s="179">
        <v>328524.449096</v>
      </c>
      <c r="D589" s="179"/>
      <c r="E589" s="181">
        <v>7.147664518469149E-2</v>
      </c>
      <c r="F589" s="181">
        <v>7.1996704390150865E-2</v>
      </c>
      <c r="G589" s="181">
        <v>7.2899829720056944E-2</v>
      </c>
    </row>
    <row r="590" spans="1:7" ht="16.149999999999999">
      <c r="A590" s="177" t="s">
        <v>1045</v>
      </c>
      <c r="B590" s="184">
        <f t="shared" si="4"/>
        <v>44153</v>
      </c>
      <c r="C590" s="179">
        <v>357651.97599999997</v>
      </c>
      <c r="D590" s="179"/>
      <c r="E590" s="181">
        <v>7.140197689539482E-2</v>
      </c>
      <c r="F590" s="181">
        <v>7.1959366866212182E-2</v>
      </c>
      <c r="G590" s="181">
        <v>7.2498440893744312E-2</v>
      </c>
    </row>
    <row r="591" spans="1:7" ht="16.149999999999999">
      <c r="A591" s="177" t="s">
        <v>1046</v>
      </c>
      <c r="B591" s="184">
        <f t="shared" si="4"/>
        <v>44167</v>
      </c>
      <c r="C591" s="179">
        <v>396586.64</v>
      </c>
      <c r="D591" s="179"/>
      <c r="E591" s="181">
        <v>7.1337571887354873E-2</v>
      </c>
      <c r="F591" s="181">
        <v>7.1849082684341634E-2</v>
      </c>
      <c r="G591" s="181">
        <v>7.2988683257953185E-2</v>
      </c>
    </row>
    <row r="592" spans="1:7" ht="16.149999999999999">
      <c r="A592" s="177" t="s">
        <v>1047</v>
      </c>
      <c r="B592" s="184">
        <f t="shared" si="4"/>
        <v>44181</v>
      </c>
      <c r="C592" s="179">
        <v>409405.14299999998</v>
      </c>
      <c r="D592" s="179"/>
      <c r="E592" s="181">
        <v>7.1138442314320829E-2</v>
      </c>
      <c r="F592" s="181">
        <v>7.1692602893635632E-2</v>
      </c>
      <c r="G592" s="181">
        <v>7.2400446036068808E-2</v>
      </c>
    </row>
    <row r="593" spans="1:9" ht="16.149999999999999">
      <c r="A593" s="177" t="s">
        <v>1048</v>
      </c>
      <c r="B593" s="184">
        <f t="shared" si="4"/>
        <v>44195</v>
      </c>
      <c r="C593" s="179">
        <v>638069.07799999998</v>
      </c>
      <c r="D593" s="179"/>
      <c r="E593" s="181">
        <v>7.1089630039071428E-2</v>
      </c>
      <c r="F593" s="181">
        <v>7.191117333887502E-2</v>
      </c>
      <c r="G593" s="181">
        <v>7.2876934338025834E-2</v>
      </c>
    </row>
    <row r="594" spans="1:9" s="8" customFormat="1" ht="49.9" customHeight="1">
      <c r="A594" s="236"/>
      <c r="B594" s="237" t="s">
        <v>1049</v>
      </c>
      <c r="C594" s="238"/>
      <c r="D594" s="238"/>
      <c r="E594" s="239">
        <f>AVERAGE(E568:E593)</f>
        <v>8.7246245883290122E-2</v>
      </c>
      <c r="F594" s="239">
        <f>AVERAGE(F568:F593)</f>
        <v>8.6493239776998104E-2</v>
      </c>
      <c r="G594" s="239">
        <f>AVERAGE(G568:G593)</f>
        <v>8.625957132539526E-2</v>
      </c>
    </row>
    <row r="595" spans="1:9" s="8" customFormat="1" ht="42.6" customHeight="1">
      <c r="A595" s="236"/>
      <c r="B595" s="237" t="s">
        <v>1022</v>
      </c>
      <c r="C595" s="238"/>
      <c r="D595" s="238"/>
      <c r="E595" s="340">
        <f>AVERAGE(E594:G594)</f>
        <v>8.6666352328561166E-2</v>
      </c>
      <c r="F595" s="341"/>
      <c r="G595" s="342"/>
      <c r="H595" s="240"/>
      <c r="I595" s="240"/>
    </row>
    <row r="596" spans="1:9" ht="16.149999999999999">
      <c r="A596" s="177" t="s">
        <v>1050</v>
      </c>
      <c r="B596" s="184">
        <f>B593+14</f>
        <v>44209</v>
      </c>
      <c r="C596" s="179">
        <v>571063.97</v>
      </c>
      <c r="D596" s="179"/>
      <c r="E596" s="181">
        <v>7.1385787188597338E-2</v>
      </c>
      <c r="F596" s="181">
        <v>7.1901995014250999E-2</v>
      </c>
      <c r="G596" s="181" t="s">
        <v>467</v>
      </c>
    </row>
    <row r="597" spans="1:9" ht="16.149999999999999">
      <c r="A597" s="177" t="s">
        <v>1051</v>
      </c>
      <c r="B597" s="184">
        <f t="shared" si="4"/>
        <v>44223</v>
      </c>
      <c r="C597" s="179">
        <v>487218.77499999997</v>
      </c>
      <c r="D597" s="179"/>
      <c r="E597" s="181">
        <v>7.1516688250779378E-2</v>
      </c>
      <c r="F597" s="181">
        <v>7.4000974752399251E-2</v>
      </c>
      <c r="G597" s="181">
        <v>7.7157690163360035E-2</v>
      </c>
    </row>
    <row r="598" spans="1:9" ht="16.149999999999999">
      <c r="A598" s="177" t="s">
        <v>1052</v>
      </c>
      <c r="B598" s="184">
        <v>44237</v>
      </c>
      <c r="C598" s="179">
        <v>669315.22400000005</v>
      </c>
      <c r="D598" s="179"/>
      <c r="E598" s="181">
        <v>7.1622683159172584E-2</v>
      </c>
      <c r="F598" s="181">
        <v>7.4650250525824524E-2</v>
      </c>
      <c r="G598" s="181">
        <v>7.7908022485019823E-2</v>
      </c>
    </row>
    <row r="599" spans="1:9" ht="16.149999999999999">
      <c r="A599" s="177" t="s">
        <v>1053</v>
      </c>
      <c r="B599" s="184">
        <v>44251</v>
      </c>
      <c r="C599" s="179">
        <v>768204.59363699995</v>
      </c>
      <c r="D599" s="179"/>
      <c r="E599" s="181">
        <v>7.1905540490621159E-2</v>
      </c>
      <c r="F599" s="181">
        <v>7.4914290552314564E-2</v>
      </c>
      <c r="G599" s="181" t="s">
        <v>467</v>
      </c>
    </row>
    <row r="600" spans="1:9" ht="16.149999999999999">
      <c r="A600" s="177" t="s">
        <v>1054</v>
      </c>
      <c r="B600" s="184">
        <v>44265</v>
      </c>
      <c r="C600" s="179">
        <v>700314.75965199992</v>
      </c>
      <c r="D600" s="179"/>
      <c r="E600" s="181">
        <v>7.3152208437426439E-2</v>
      </c>
      <c r="F600" s="181">
        <v>7.6678217105127844E-2</v>
      </c>
      <c r="G600" s="181">
        <v>7.7899501959813627E-2</v>
      </c>
    </row>
    <row r="601" spans="1:9" ht="16.149999999999999">
      <c r="A601" s="177" t="s">
        <v>1055</v>
      </c>
      <c r="B601" s="184">
        <v>44279</v>
      </c>
      <c r="C601" s="179">
        <v>1515650.025129</v>
      </c>
      <c r="D601" s="179"/>
      <c r="E601" s="181">
        <v>7.4298199279713845E-2</v>
      </c>
      <c r="F601" s="181">
        <v>7.7326865650742482E-2</v>
      </c>
      <c r="G601" s="181" t="s">
        <v>467</v>
      </c>
    </row>
    <row r="602" spans="1:9" ht="16.149999999999999">
      <c r="A602" s="177" t="s">
        <v>1056</v>
      </c>
      <c r="B602" s="184">
        <v>44293</v>
      </c>
      <c r="C602" s="179">
        <v>841913.06799999997</v>
      </c>
      <c r="D602" s="179"/>
      <c r="E602" s="181">
        <v>7.4417972937341509E-2</v>
      </c>
      <c r="F602" s="181">
        <v>7.7463235314533987E-2</v>
      </c>
      <c r="G602" s="181" t="s">
        <v>467</v>
      </c>
    </row>
    <row r="603" spans="1:9" ht="16.149999999999999">
      <c r="A603" s="177" t="s">
        <v>1057</v>
      </c>
      <c r="B603" s="184">
        <v>44307</v>
      </c>
      <c r="C603" s="179">
        <v>688917.83900000004</v>
      </c>
      <c r="D603" s="179"/>
      <c r="E603" s="181">
        <v>7.3762687936374111E-2</v>
      </c>
      <c r="F603" s="181">
        <v>7.646250684398824E-2</v>
      </c>
      <c r="G603" s="181" t="s">
        <v>467</v>
      </c>
    </row>
    <row r="604" spans="1:9" ht="16.149999999999999">
      <c r="A604" s="177" t="s">
        <v>1058</v>
      </c>
      <c r="B604" s="184">
        <f t="shared" ref="B604:B611" si="5">B603+14</f>
        <v>44321</v>
      </c>
      <c r="C604" s="179">
        <v>599721.95150800003</v>
      </c>
      <c r="D604" s="179"/>
      <c r="E604" s="181">
        <v>7.3309035660108351E-2</v>
      </c>
      <c r="F604" s="181">
        <v>7.5289849072688708E-2</v>
      </c>
      <c r="G604" s="181">
        <v>7.689995691582456E-2</v>
      </c>
    </row>
    <row r="605" spans="1:9" ht="16.149999999999999">
      <c r="A605" s="177" t="s">
        <v>1059</v>
      </c>
      <c r="B605" s="184">
        <f t="shared" si="5"/>
        <v>44335</v>
      </c>
      <c r="C605" s="179">
        <v>557734.31003699999</v>
      </c>
      <c r="D605" s="179"/>
      <c r="E605" s="181">
        <v>7.3420003428287778E-2</v>
      </c>
      <c r="F605" s="181">
        <v>7.5686220698270024E-2</v>
      </c>
      <c r="G605" s="181">
        <v>7.6629326550278459E-2</v>
      </c>
    </row>
    <row r="606" spans="1:9" ht="16.149999999999999">
      <c r="A606" s="177" t="s">
        <v>1060</v>
      </c>
      <c r="B606" s="184">
        <f t="shared" si="5"/>
        <v>44349</v>
      </c>
      <c r="C606" s="179">
        <v>807088.83650999994</v>
      </c>
      <c r="D606" s="179"/>
      <c r="E606" s="181">
        <v>7.3420211425773277E-2</v>
      </c>
      <c r="F606" s="181">
        <v>7.5786980974153234E-2</v>
      </c>
      <c r="G606" s="181">
        <v>7.6700134070322917E-2</v>
      </c>
    </row>
    <row r="607" spans="1:9" ht="16.149999999999999">
      <c r="A607" s="177" t="s">
        <v>1061</v>
      </c>
      <c r="B607" s="184">
        <f t="shared" si="5"/>
        <v>44363</v>
      </c>
      <c r="C607" s="179">
        <v>1106433.666</v>
      </c>
      <c r="D607" s="179"/>
      <c r="E607" s="181">
        <v>7.3123999999999995E-2</v>
      </c>
      <c r="F607" s="181">
        <v>7.5718999999999995E-2</v>
      </c>
      <c r="G607" s="181">
        <v>7.6700000000000004E-2</v>
      </c>
    </row>
    <row r="608" spans="1:9" ht="16.149999999999999">
      <c r="A608" s="177" t="s">
        <v>1062</v>
      </c>
      <c r="B608" s="184">
        <f t="shared" si="5"/>
        <v>44377</v>
      </c>
      <c r="C608" s="179">
        <v>798327.33794800006</v>
      </c>
      <c r="D608" s="179"/>
      <c r="E608" s="181">
        <v>7.2953241296699362E-2</v>
      </c>
      <c r="F608" s="181">
        <v>7.5605229347823738E-2</v>
      </c>
      <c r="G608" s="181" t="s">
        <v>467</v>
      </c>
    </row>
    <row r="609" spans="1:9" ht="16.149999999999999">
      <c r="A609" s="177" t="s">
        <v>1063</v>
      </c>
      <c r="B609" s="184">
        <f t="shared" si="5"/>
        <v>44391</v>
      </c>
      <c r="C609" s="179">
        <v>671694.32219400001</v>
      </c>
      <c r="D609" s="179"/>
      <c r="E609" s="181">
        <v>7.237150791854402E-2</v>
      </c>
      <c r="F609" s="181">
        <v>7.5205604124896241E-2</v>
      </c>
      <c r="G609" s="181" t="s">
        <v>467</v>
      </c>
    </row>
    <row r="610" spans="1:9" ht="16.149999999999999">
      <c r="A610" s="177" t="s">
        <v>1064</v>
      </c>
      <c r="B610" s="184">
        <f t="shared" si="5"/>
        <v>44405</v>
      </c>
      <c r="C610" s="179">
        <v>682228.43765800004</v>
      </c>
      <c r="D610" s="179"/>
      <c r="E610" s="181">
        <v>7.2324999545671051E-2</v>
      </c>
      <c r="F610" s="181">
        <v>7.4967473610994123E-2</v>
      </c>
      <c r="G610" s="181" t="s">
        <v>467</v>
      </c>
    </row>
    <row r="611" spans="1:9" ht="16.149999999999999">
      <c r="A611" s="177" t="s">
        <v>1065</v>
      </c>
      <c r="B611" s="184">
        <f t="shared" si="5"/>
        <v>44419</v>
      </c>
      <c r="C611" s="179">
        <v>388947.33481499995</v>
      </c>
      <c r="D611" s="179"/>
      <c r="E611" s="181">
        <v>7.2294868855104708E-2</v>
      </c>
      <c r="F611" s="181">
        <v>7.4765493207714473E-2</v>
      </c>
      <c r="G611" s="181" t="s">
        <v>467</v>
      </c>
    </row>
    <row r="612" spans="1:9" ht="16.149999999999999">
      <c r="A612" s="177" t="s">
        <v>1066</v>
      </c>
      <c r="B612" s="184">
        <v>44433</v>
      </c>
      <c r="C612" s="179">
        <v>614636.18945499999</v>
      </c>
      <c r="D612" s="179"/>
      <c r="E612" s="181">
        <v>7.2293007429090991E-2</v>
      </c>
      <c r="F612" s="181">
        <v>7.4292855646666073E-2</v>
      </c>
      <c r="G612" s="181" t="s">
        <v>467</v>
      </c>
    </row>
    <row r="613" spans="1:9" ht="16.149999999999999">
      <c r="A613" s="177" t="s">
        <v>1067</v>
      </c>
      <c r="B613" s="184">
        <v>44447</v>
      </c>
      <c r="C613" s="179">
        <v>355253.02100000001</v>
      </c>
      <c r="D613" s="179"/>
      <c r="E613" s="181">
        <v>7.2103E-2</v>
      </c>
      <c r="F613" s="181">
        <v>7.4304999999999996E-2</v>
      </c>
      <c r="G613" s="181">
        <v>7.5999999999999998E-2</v>
      </c>
    </row>
    <row r="614" spans="1:9" ht="16.149999999999999">
      <c r="A614" s="177" t="s">
        <v>1068</v>
      </c>
      <c r="B614" s="184">
        <v>44461</v>
      </c>
      <c r="C614" s="179">
        <v>791193.32</v>
      </c>
      <c r="D614" s="179"/>
      <c r="E614" s="181">
        <v>7.5710697478014566E-2</v>
      </c>
      <c r="F614" s="181">
        <v>7.948760719901013E-2</v>
      </c>
      <c r="G614" s="181" t="s">
        <v>467</v>
      </c>
    </row>
    <row r="615" spans="1:9" ht="16.149999999999999">
      <c r="A615" s="177" t="s">
        <v>1069</v>
      </c>
      <c r="B615" s="184">
        <v>44475</v>
      </c>
      <c r="C615" s="179">
        <v>677404.174</v>
      </c>
      <c r="D615" s="179"/>
      <c r="E615" s="181">
        <v>7.7041999999999999E-2</v>
      </c>
      <c r="F615" s="181">
        <v>8.0633999999999997E-2</v>
      </c>
      <c r="G615" s="181" t="s">
        <v>467</v>
      </c>
    </row>
    <row r="616" spans="1:9" ht="16.149999999999999">
      <c r="A616" s="177" t="s">
        <v>1070</v>
      </c>
      <c r="B616" s="184">
        <v>44489</v>
      </c>
      <c r="C616" s="179">
        <v>169860.16443400001</v>
      </c>
      <c r="D616" s="179"/>
      <c r="E616" s="181">
        <v>8.1748491715203694E-2</v>
      </c>
      <c r="F616" s="181" t="s">
        <v>467</v>
      </c>
      <c r="G616" s="181" t="s">
        <v>467</v>
      </c>
    </row>
    <row r="617" spans="1:9" ht="16.149999999999999">
      <c r="A617" s="177" t="s">
        <v>1071</v>
      </c>
      <c r="B617" s="184">
        <v>44503</v>
      </c>
      <c r="C617" s="179">
        <v>279245.78000000003</v>
      </c>
      <c r="D617" s="179"/>
      <c r="E617" s="181">
        <v>8.3794999999999994E-2</v>
      </c>
      <c r="F617" s="181">
        <v>8.5010000000000002E-2</v>
      </c>
      <c r="G617" s="181" t="s">
        <v>467</v>
      </c>
    </row>
    <row r="618" spans="1:9" ht="16.149999999999999">
      <c r="A618" s="177" t="s">
        <v>1072</v>
      </c>
      <c r="B618" s="184">
        <v>44517</v>
      </c>
      <c r="C618" s="179">
        <v>54733.597999999998</v>
      </c>
      <c r="D618" s="179"/>
      <c r="E618" s="181">
        <v>8.5002999999999995E-2</v>
      </c>
      <c r="F618" s="181" t="s">
        <v>467</v>
      </c>
      <c r="G618" s="181" t="s">
        <v>467</v>
      </c>
    </row>
    <row r="619" spans="1:9" ht="16.149999999999999">
      <c r="A619" s="177" t="s">
        <v>1073</v>
      </c>
      <c r="B619" s="184">
        <v>44531</v>
      </c>
      <c r="C619" s="179">
        <v>506884.00782900007</v>
      </c>
      <c r="D619" s="179"/>
      <c r="E619" s="181">
        <v>0.10391169999056328</v>
      </c>
      <c r="F619" s="181">
        <v>0.11058652609887211</v>
      </c>
      <c r="G619" s="181">
        <v>0.11351113429325663</v>
      </c>
    </row>
    <row r="620" spans="1:9" ht="16.149999999999999">
      <c r="A620" s="177" t="s">
        <v>1074</v>
      </c>
      <c r="B620" s="184">
        <v>44545</v>
      </c>
      <c r="C620" s="179">
        <v>1325353.581</v>
      </c>
      <c r="D620" s="179"/>
      <c r="E620" s="181">
        <v>0.106589</v>
      </c>
      <c r="F620" s="181">
        <v>0.113789</v>
      </c>
      <c r="G620" s="181">
        <v>0.114356</v>
      </c>
    </row>
    <row r="621" spans="1:9" ht="16.149999999999999">
      <c r="A621" s="177" t="s">
        <v>1075</v>
      </c>
      <c r="B621" s="184">
        <v>44560</v>
      </c>
      <c r="C621" s="179">
        <v>1213561.9971500002</v>
      </c>
      <c r="D621" s="179"/>
      <c r="E621" s="181">
        <v>0.10387349483326611</v>
      </c>
      <c r="F621" s="181">
        <v>0.11322778926477406</v>
      </c>
      <c r="G621" s="181">
        <v>0.11479566599232356</v>
      </c>
    </row>
    <row r="622" spans="1:9" s="8" customFormat="1" ht="49.9" customHeight="1">
      <c r="A622" s="236"/>
      <c r="B622" s="237" t="s">
        <v>1076</v>
      </c>
      <c r="C622" s="238"/>
      <c r="D622" s="238"/>
      <c r="E622" s="239">
        <f>AVERAGE(E596:E621)</f>
        <v>7.7974962586782839E-2</v>
      </c>
      <c r="F622" s="239">
        <f>AVERAGE(F596:F621)</f>
        <v>8.073987354187688E-2</v>
      </c>
      <c r="G622" s="239">
        <f>AVERAGE(G596:G621)</f>
        <v>8.7141584766381786E-2</v>
      </c>
    </row>
    <row r="623" spans="1:9" s="8" customFormat="1" ht="42.6" customHeight="1">
      <c r="A623" s="236"/>
      <c r="B623" s="237" t="s">
        <v>1022</v>
      </c>
      <c r="C623" s="238"/>
      <c r="D623" s="238"/>
      <c r="E623" s="340">
        <f>AVERAGE(E622:G622)</f>
        <v>8.1952140298347173E-2</v>
      </c>
      <c r="F623" s="341"/>
      <c r="G623" s="342"/>
      <c r="H623" s="240"/>
      <c r="I623" s="240"/>
    </row>
    <row r="624" spans="1:9" ht="16.149999999999999">
      <c r="A624" s="177" t="s">
        <v>1077</v>
      </c>
      <c r="B624" s="184">
        <v>44573</v>
      </c>
      <c r="C624" s="179">
        <v>707640.30700000003</v>
      </c>
      <c r="D624" s="179"/>
      <c r="E624" s="181">
        <v>0.10373</v>
      </c>
      <c r="F624" s="181">
        <v>0.113413</v>
      </c>
      <c r="G624" s="181">
        <v>0.1148</v>
      </c>
    </row>
    <row r="625" spans="1:7" ht="16.149999999999999">
      <c r="A625" s="177" t="s">
        <v>1078</v>
      </c>
      <c r="B625" s="184">
        <v>44587</v>
      </c>
      <c r="C625" s="179">
        <v>792513.06200000003</v>
      </c>
      <c r="D625" s="179"/>
      <c r="E625" s="181">
        <v>0.10203</v>
      </c>
      <c r="F625" s="181">
        <v>0.106527</v>
      </c>
      <c r="G625" s="181">
        <v>0.109068</v>
      </c>
    </row>
    <row r="626" spans="1:7" ht="16.149999999999999">
      <c r="A626" s="177" t="s">
        <v>1079</v>
      </c>
      <c r="B626" s="184">
        <v>44601</v>
      </c>
      <c r="C626" s="179">
        <v>567525.95600000001</v>
      </c>
      <c r="D626" s="179"/>
      <c r="E626" s="181">
        <v>0.10264</v>
      </c>
      <c r="F626" s="181">
        <v>0.106308</v>
      </c>
      <c r="G626" s="181">
        <v>0.108526</v>
      </c>
    </row>
    <row r="627" spans="1:7" ht="16.149999999999999">
      <c r="A627" s="177" t="s">
        <v>1080</v>
      </c>
      <c r="B627" s="184">
        <v>44615</v>
      </c>
      <c r="C627" s="179">
        <v>353538.78200000001</v>
      </c>
      <c r="D627" s="179"/>
      <c r="E627" s="181">
        <v>0.103836</v>
      </c>
      <c r="F627" s="181">
        <v>0.108417</v>
      </c>
      <c r="G627" s="181">
        <v>0.10914</v>
      </c>
    </row>
    <row r="628" spans="1:7" ht="16.149999999999999">
      <c r="A628" s="177" t="s">
        <v>1081</v>
      </c>
      <c r="B628" s="184">
        <v>44629</v>
      </c>
      <c r="C628" s="179">
        <v>907722.054</v>
      </c>
      <c r="D628" s="179"/>
      <c r="E628" s="181">
        <v>0.109948</v>
      </c>
      <c r="F628" s="181">
        <v>0.118185</v>
      </c>
      <c r="G628" s="181">
        <v>0.119668</v>
      </c>
    </row>
    <row r="629" spans="1:7" ht="16.149999999999999">
      <c r="A629" s="177" t="s">
        <v>1082</v>
      </c>
      <c r="B629" s="184">
        <v>44642</v>
      </c>
      <c r="C629" s="179">
        <v>653120.52185600006</v>
      </c>
      <c r="D629" s="179"/>
      <c r="E629" s="181">
        <v>0.1175061137515311</v>
      </c>
      <c r="F629" s="181">
        <v>0.12244958156518457</v>
      </c>
      <c r="G629" s="181">
        <v>0.12462568485164098</v>
      </c>
    </row>
    <row r="630" spans="1:7" ht="16.149999999999999">
      <c r="A630" s="177" t="s">
        <v>1083</v>
      </c>
      <c r="B630" s="184">
        <v>44657</v>
      </c>
      <c r="C630" s="179">
        <v>644421.46699999995</v>
      </c>
      <c r="D630" s="179"/>
      <c r="E630" s="181">
        <v>0.12396699999999999</v>
      </c>
      <c r="F630" s="181">
        <v>0.13045899999999999</v>
      </c>
      <c r="G630" s="181">
        <v>0.13156000000000001</v>
      </c>
    </row>
    <row r="631" spans="1:7" ht="16.149999999999999">
      <c r="A631" s="177" t="s">
        <v>1084</v>
      </c>
      <c r="B631" s="184">
        <f>B630+14</f>
        <v>44671</v>
      </c>
      <c r="C631" s="179">
        <v>579108.144233</v>
      </c>
      <c r="D631" s="179"/>
      <c r="E631" s="181">
        <v>0.13190876901449425</v>
      </c>
      <c r="F631" s="181">
        <v>0.13527875719808269</v>
      </c>
      <c r="G631" s="181">
        <v>0.13644914796412344</v>
      </c>
    </row>
    <row r="632" spans="1:7" ht="16.149999999999999">
      <c r="A632" s="177" t="s">
        <v>1085</v>
      </c>
      <c r="B632" s="184">
        <v>44678</v>
      </c>
      <c r="C632" s="179">
        <v>629034.65276900004</v>
      </c>
      <c r="D632" s="179"/>
      <c r="E632" s="181">
        <v>0.14193632313988402</v>
      </c>
      <c r="F632" s="181">
        <v>0.14711340549631469</v>
      </c>
      <c r="G632" s="181">
        <v>0.14472996199972815</v>
      </c>
    </row>
    <row r="633" spans="1:7" ht="16.149999999999999">
      <c r="A633" s="177" t="s">
        <v>1086</v>
      </c>
      <c r="B633" s="184">
        <v>44699</v>
      </c>
      <c r="C633" s="179">
        <v>332082.50599999999</v>
      </c>
      <c r="D633" s="179"/>
      <c r="E633" s="181">
        <v>0.14422499999999999</v>
      </c>
      <c r="F633" s="181">
        <v>0.14699999999999999</v>
      </c>
      <c r="G633" s="181">
        <v>0.14749899999999999</v>
      </c>
    </row>
    <row r="634" spans="1:7" ht="16.149999999999999">
      <c r="A634" s="177" t="s">
        <v>1087</v>
      </c>
      <c r="B634" s="184">
        <v>44713</v>
      </c>
      <c r="C634" s="179">
        <v>750810.33100000001</v>
      </c>
      <c r="D634" s="179"/>
      <c r="E634" s="181">
        <v>0.146647</v>
      </c>
      <c r="F634" s="181">
        <v>0.14954400000000001</v>
      </c>
      <c r="G634" s="181">
        <v>0.151503</v>
      </c>
    </row>
    <row r="635" spans="1:7" ht="16.149999999999999">
      <c r="A635" s="177" t="s">
        <v>1088</v>
      </c>
      <c r="B635" s="184">
        <v>44727</v>
      </c>
      <c r="C635" s="179">
        <v>800070.14099999995</v>
      </c>
      <c r="D635" s="179"/>
      <c r="E635" s="181">
        <v>0.15119299999999999</v>
      </c>
      <c r="F635" s="181">
        <v>0.149501</v>
      </c>
      <c r="G635" s="181">
        <v>0.14949899999999999</v>
      </c>
    </row>
    <row r="636" spans="1:7" ht="16.149999999999999">
      <c r="A636" s="177" t="s">
        <v>1089</v>
      </c>
      <c r="B636" s="184">
        <v>44741</v>
      </c>
      <c r="C636" s="179">
        <v>1682545.5209999999</v>
      </c>
      <c r="D636" s="179"/>
      <c r="E636" s="181">
        <v>0.150835</v>
      </c>
      <c r="F636" s="181">
        <v>0.14800099999999999</v>
      </c>
      <c r="G636" s="181">
        <v>0.14949899999999999</v>
      </c>
    </row>
    <row r="637" spans="1:7" ht="16.149999999999999">
      <c r="A637" s="177" t="s">
        <v>1090</v>
      </c>
      <c r="B637" s="184">
        <v>44755</v>
      </c>
      <c r="C637" s="179">
        <v>479181.72346900002</v>
      </c>
      <c r="D637" s="179"/>
      <c r="E637" s="181">
        <v>0.15573390633671791</v>
      </c>
      <c r="F637" s="181">
        <v>0.15692136043065424</v>
      </c>
      <c r="G637" s="181">
        <v>0.15834495270694354</v>
      </c>
    </row>
    <row r="638" spans="1:7" ht="16.149999999999999">
      <c r="A638" s="177" t="s">
        <v>1091</v>
      </c>
      <c r="B638" s="184">
        <v>44769</v>
      </c>
      <c r="C638" s="179">
        <v>966002.60100000002</v>
      </c>
      <c r="D638" s="179"/>
      <c r="E638" s="181">
        <v>0.156338</v>
      </c>
      <c r="F638" s="181">
        <v>0.156806</v>
      </c>
      <c r="G638" s="181">
        <v>0.15883700000000001</v>
      </c>
    </row>
    <row r="639" spans="1:7" ht="16.149999999999999">
      <c r="A639" s="177" t="s">
        <v>1092</v>
      </c>
      <c r="B639" s="184">
        <v>44783</v>
      </c>
      <c r="C639" s="179">
        <v>442401.74400000001</v>
      </c>
      <c r="D639" s="179"/>
      <c r="E639" s="181">
        <v>0.15695700000000001</v>
      </c>
      <c r="F639" s="181">
        <v>0.15792999999999999</v>
      </c>
      <c r="G639" s="181">
        <v>0.15886900000000001</v>
      </c>
    </row>
    <row r="640" spans="1:7" ht="16.149999999999999">
      <c r="A640" s="177" t="s">
        <v>1093</v>
      </c>
      <c r="B640" s="184">
        <v>44797</v>
      </c>
      <c r="C640" s="179">
        <v>779122.20400000003</v>
      </c>
      <c r="D640" s="179"/>
      <c r="E640" s="181">
        <v>0.157331</v>
      </c>
      <c r="F640" s="181">
        <v>0.158137</v>
      </c>
      <c r="G640" s="181">
        <v>0.158994</v>
      </c>
    </row>
    <row r="641" spans="1:9" ht="16.149999999999999">
      <c r="A641" s="177" t="s">
        <v>1094</v>
      </c>
      <c r="B641" s="184">
        <v>44811</v>
      </c>
      <c r="C641" s="179">
        <v>782825.77599999995</v>
      </c>
      <c r="D641" s="179"/>
      <c r="E641" s="181">
        <v>0.158474</v>
      </c>
      <c r="F641" s="181">
        <v>0.15840599999999999</v>
      </c>
      <c r="G641" s="181">
        <v>0.15937999999999999</v>
      </c>
    </row>
    <row r="642" spans="1:9" ht="16.149999999999999">
      <c r="A642" s="177" t="s">
        <v>1095</v>
      </c>
      <c r="B642" s="184">
        <v>44825</v>
      </c>
      <c r="C642" s="179">
        <v>1342057.78</v>
      </c>
      <c r="D642" s="179"/>
      <c r="E642" s="181">
        <v>0.159749</v>
      </c>
      <c r="F642" s="181">
        <v>0.15946099999999999</v>
      </c>
      <c r="G642" s="181">
        <v>0.159884</v>
      </c>
    </row>
    <row r="643" spans="1:9" ht="16.149999999999999">
      <c r="A643" s="177" t="s">
        <v>1096</v>
      </c>
      <c r="B643" s="184">
        <v>44839</v>
      </c>
      <c r="C643" s="179">
        <v>819118.99699999997</v>
      </c>
      <c r="D643" s="179"/>
      <c r="E643" s="181">
        <v>0.155998</v>
      </c>
      <c r="F643" s="181">
        <v>0.15681100000000001</v>
      </c>
      <c r="G643" s="181">
        <v>0.15687400000000001</v>
      </c>
    </row>
    <row r="644" spans="1:9" ht="16.149999999999999">
      <c r="A644" s="177" t="s">
        <v>1097</v>
      </c>
      <c r="B644" s="184">
        <v>44853</v>
      </c>
      <c r="C644" s="179">
        <v>802559.35100000002</v>
      </c>
      <c r="D644" s="179"/>
      <c r="E644" s="181">
        <v>0.15671199999999999</v>
      </c>
      <c r="F644" s="181">
        <v>0.15690299999999999</v>
      </c>
      <c r="G644" s="181">
        <v>0.15665499999999999</v>
      </c>
    </row>
    <row r="645" spans="1:9" ht="16.149999999999999">
      <c r="A645" s="177" t="s">
        <v>1098</v>
      </c>
      <c r="B645" s="184">
        <v>44867</v>
      </c>
      <c r="C645" s="179">
        <v>485252.22100000002</v>
      </c>
      <c r="D645" s="179"/>
      <c r="E645" s="181">
        <v>0.15699099999999999</v>
      </c>
      <c r="F645" s="181">
        <v>0.15729799999999999</v>
      </c>
      <c r="G645" s="181">
        <v>0.15726699999999999</v>
      </c>
    </row>
    <row r="646" spans="1:9" ht="16.149999999999999">
      <c r="A646" s="177" t="s">
        <v>1099</v>
      </c>
      <c r="B646" s="184">
        <v>44881</v>
      </c>
      <c r="C646" s="179">
        <v>729963.84900000005</v>
      </c>
      <c r="D646" s="179"/>
      <c r="E646" s="181">
        <v>0.156947</v>
      </c>
      <c r="F646" s="181">
        <v>0.15728900000000001</v>
      </c>
      <c r="G646" s="181">
        <v>0.15698999999999999</v>
      </c>
    </row>
    <row r="647" spans="1:9" ht="16.149999999999999">
      <c r="A647" s="177" t="s">
        <v>1100</v>
      </c>
      <c r="B647" s="184">
        <v>44895</v>
      </c>
      <c r="C647" s="179">
        <v>205826.24799999999</v>
      </c>
      <c r="D647" s="179"/>
      <c r="E647" s="181">
        <v>0.16880300000000001</v>
      </c>
      <c r="F647" s="181">
        <v>0.16522899999999999</v>
      </c>
      <c r="G647" s="181">
        <v>0.16772599999999999</v>
      </c>
    </row>
    <row r="648" spans="1:9" ht="16.149999999999999">
      <c r="A648" s="177" t="s">
        <v>1101</v>
      </c>
      <c r="B648" s="184">
        <v>44909</v>
      </c>
      <c r="C648" s="179">
        <v>1599154.773</v>
      </c>
      <c r="D648" s="179"/>
      <c r="E648" s="181">
        <v>0.16973299999999999</v>
      </c>
      <c r="F648" s="181">
        <v>0.16850799999999999</v>
      </c>
      <c r="G648" s="181">
        <v>0.16795199999999999</v>
      </c>
    </row>
    <row r="649" spans="1:9" ht="16.149999999999999">
      <c r="A649" s="177" t="s">
        <v>1102</v>
      </c>
      <c r="B649" s="184">
        <v>44923</v>
      </c>
      <c r="C649" s="179">
        <v>343445.8</v>
      </c>
      <c r="D649" s="179"/>
      <c r="E649" s="181">
        <v>0.169623</v>
      </c>
      <c r="F649" s="181">
        <v>0.168127</v>
      </c>
      <c r="G649" s="181">
        <v>0.16813500000000001</v>
      </c>
    </row>
    <row r="650" spans="1:9" s="8" customFormat="1" ht="42.6" customHeight="1">
      <c r="A650" s="236"/>
      <c r="B650" s="237" t="s">
        <v>1103</v>
      </c>
      <c r="C650" s="238"/>
      <c r="D650" s="238"/>
      <c r="E650" s="239">
        <f>AVERAGE(E624:E649)</f>
        <v>0.14268431200933185</v>
      </c>
      <c r="F650" s="239">
        <f>AVERAGE(F624:F649)</f>
        <v>0.14461627325731677</v>
      </c>
      <c r="G650" s="239">
        <f>AVERAGE(G624:G649)</f>
        <v>0.14547979798163216</v>
      </c>
      <c r="H650" s="240"/>
      <c r="I650" s="240"/>
    </row>
    <row r="651" spans="1:9" s="8" customFormat="1" ht="42.6" customHeight="1">
      <c r="A651" s="236"/>
      <c r="B651" s="237" t="s">
        <v>1022</v>
      </c>
      <c r="C651" s="238"/>
      <c r="D651" s="238"/>
      <c r="E651" s="340">
        <f>AVERAGE(E650:G650)</f>
        <v>0.1442601277494269</v>
      </c>
      <c r="F651" s="341"/>
      <c r="G651" s="342"/>
      <c r="H651" s="240"/>
      <c r="I651" s="240"/>
    </row>
    <row r="652" spans="1:9" ht="16.149999999999999">
      <c r="A652" s="177" t="s">
        <v>1104</v>
      </c>
      <c r="B652" s="184">
        <v>44937</v>
      </c>
      <c r="C652" s="179">
        <v>303784.55699999997</v>
      </c>
      <c r="D652" s="179"/>
      <c r="E652" s="181">
        <v>0.169909</v>
      </c>
      <c r="F652" s="181">
        <v>0.16816999999999999</v>
      </c>
      <c r="G652" s="181" t="s">
        <v>467</v>
      </c>
    </row>
    <row r="653" spans="1:9" ht="16.149999999999999">
      <c r="A653" s="177" t="s">
        <v>1105</v>
      </c>
      <c r="B653" s="184">
        <v>44951</v>
      </c>
      <c r="C653" s="179">
        <v>818094.19</v>
      </c>
      <c r="D653" s="179"/>
      <c r="E653" s="181">
        <v>0.17819399999999999</v>
      </c>
      <c r="F653" s="181" t="s">
        <v>467</v>
      </c>
      <c r="G653" s="181" t="s">
        <v>467</v>
      </c>
    </row>
    <row r="654" spans="1:9" ht="16.149999999999999">
      <c r="A654" s="177" t="s">
        <v>1106</v>
      </c>
      <c r="B654" s="184">
        <v>44965</v>
      </c>
      <c r="C654" s="179">
        <v>445214.98</v>
      </c>
      <c r="D654" s="179"/>
      <c r="E654" s="181">
        <v>0.17937900000000001</v>
      </c>
      <c r="F654" s="181">
        <v>0.1784</v>
      </c>
      <c r="G654" s="181">
        <v>0.17949899999999999</v>
      </c>
    </row>
    <row r="655" spans="1:9" ht="16.149999999999999">
      <c r="A655" s="177" t="s">
        <v>1107</v>
      </c>
      <c r="B655" s="184">
        <v>44979</v>
      </c>
      <c r="C655" s="179">
        <v>244839.34</v>
      </c>
      <c r="D655" s="179"/>
      <c r="E655" s="181">
        <v>0.19265199999999999</v>
      </c>
      <c r="F655" s="181">
        <v>0.19570599999999999</v>
      </c>
      <c r="G655" s="181">
        <v>0.19769700000000001</v>
      </c>
    </row>
    <row r="656" spans="1:9" ht="16.149999999999999">
      <c r="A656" s="177" t="s">
        <v>1108</v>
      </c>
      <c r="B656" s="184">
        <v>44993</v>
      </c>
      <c r="C656" s="179">
        <v>1497141.871</v>
      </c>
      <c r="D656" s="179"/>
      <c r="E656" s="181">
        <v>0.20971930254900936</v>
      </c>
      <c r="F656" s="181">
        <v>0.20668627751529725</v>
      </c>
      <c r="G656" s="181">
        <v>0.20864671648505217</v>
      </c>
    </row>
    <row r="657" spans="1:7" ht="16.149999999999999">
      <c r="A657" s="177" t="s">
        <v>1109</v>
      </c>
      <c r="B657" s="184">
        <v>45007</v>
      </c>
      <c r="C657" s="179">
        <v>1069621.311</v>
      </c>
      <c r="D657" s="179"/>
      <c r="E657" s="181">
        <v>0.210643</v>
      </c>
      <c r="F657" s="181">
        <v>0.21956600000000001</v>
      </c>
      <c r="G657" s="181">
        <v>0.214865</v>
      </c>
    </row>
    <row r="658" spans="1:7" ht="16.149999999999999">
      <c r="A658" s="177" t="s">
        <v>1110</v>
      </c>
      <c r="B658" s="184">
        <v>45021</v>
      </c>
      <c r="C658" s="179">
        <v>2136941.165</v>
      </c>
      <c r="D658" s="179"/>
      <c r="E658" s="181">
        <v>0.219391</v>
      </c>
      <c r="F658" s="181">
        <v>0.21926799999999999</v>
      </c>
      <c r="G658" s="181">
        <v>0.218776</v>
      </c>
    </row>
    <row r="659" spans="1:7" ht="16.149999999999999">
      <c r="A659" s="177" t="s">
        <v>1111</v>
      </c>
      <c r="B659" s="184">
        <v>45035</v>
      </c>
      <c r="C659" s="179">
        <v>560748.41200000001</v>
      </c>
      <c r="D659" s="179"/>
      <c r="E659" s="181">
        <v>0.21984000000000001</v>
      </c>
      <c r="F659" s="181">
        <v>0.21944485847661466</v>
      </c>
      <c r="G659" s="181">
        <v>0.21869402810680272</v>
      </c>
    </row>
    <row r="660" spans="1:7" ht="16.149999999999999">
      <c r="A660" s="177" t="s">
        <v>1112</v>
      </c>
      <c r="B660" s="184">
        <v>45049</v>
      </c>
      <c r="C660" s="179">
        <v>665965.40300000005</v>
      </c>
      <c r="D660" s="179"/>
      <c r="E660" s="181">
        <v>0.219862</v>
      </c>
      <c r="F660" s="181">
        <v>0.21961600000000001</v>
      </c>
      <c r="G660" s="181">
        <v>0.21978800000000001</v>
      </c>
    </row>
    <row r="661" spans="1:7" ht="16.149999999999999">
      <c r="A661" s="177" t="s">
        <v>1113</v>
      </c>
      <c r="B661" s="184">
        <v>45063</v>
      </c>
      <c r="C661" s="179">
        <v>421348.62400000001</v>
      </c>
      <c r="D661" s="179"/>
      <c r="E661" s="181">
        <v>0.21992300000000001</v>
      </c>
      <c r="F661" s="181">
        <v>0.21915699999999999</v>
      </c>
      <c r="G661" s="181">
        <v>0.219973</v>
      </c>
    </row>
    <row r="662" spans="1:7" ht="16.149999999999999">
      <c r="A662" s="177" t="s">
        <v>1114</v>
      </c>
      <c r="B662" s="184">
        <v>45077</v>
      </c>
      <c r="C662" s="179">
        <v>2175079.4479999999</v>
      </c>
      <c r="D662" s="179"/>
      <c r="E662" s="181">
        <v>0.21975</v>
      </c>
      <c r="F662" s="181">
        <v>0.21942900000000001</v>
      </c>
      <c r="G662" s="181">
        <v>0.219996</v>
      </c>
    </row>
    <row r="663" spans="1:7" ht="16.149999999999999">
      <c r="A663" s="177" t="s">
        <v>1115</v>
      </c>
      <c r="B663" s="184">
        <v>45091</v>
      </c>
      <c r="C663" s="179">
        <v>2099332.8730000001</v>
      </c>
      <c r="D663" s="179"/>
      <c r="E663" s="181">
        <v>0.21981899999999999</v>
      </c>
      <c r="F663" s="181">
        <v>0.219669</v>
      </c>
      <c r="G663" s="181">
        <v>0.21989400000000001</v>
      </c>
    </row>
    <row r="664" spans="1:7" ht="16.149999999999999">
      <c r="A664" s="177" t="s">
        <v>1116</v>
      </c>
      <c r="B664" s="184">
        <v>45098</v>
      </c>
      <c r="C664" s="179">
        <v>2304087.338</v>
      </c>
      <c r="D664" s="179"/>
      <c r="E664" s="181">
        <v>0.21988199999999999</v>
      </c>
      <c r="F664" s="181">
        <v>0.219225</v>
      </c>
      <c r="G664" s="181">
        <v>0.219774</v>
      </c>
    </row>
    <row r="665" spans="1:7" ht="16.149999999999999">
      <c r="A665" s="177" t="s">
        <v>1117</v>
      </c>
      <c r="B665" s="184">
        <v>45119</v>
      </c>
      <c r="C665" s="179">
        <v>596566.07700000005</v>
      </c>
      <c r="D665" s="179"/>
      <c r="E665" s="181">
        <v>0.22747300000000001</v>
      </c>
      <c r="F665" s="181">
        <v>0.229245</v>
      </c>
      <c r="G665" s="181">
        <v>0.22869999999999999</v>
      </c>
    </row>
    <row r="666" spans="1:7" ht="16.149999999999999">
      <c r="A666" s="177" t="s">
        <v>1118</v>
      </c>
      <c r="B666" s="184">
        <v>45131</v>
      </c>
      <c r="C666" s="179">
        <v>583633.054</v>
      </c>
      <c r="D666" s="179"/>
      <c r="E666" s="181">
        <v>0.22897400000000001</v>
      </c>
      <c r="F666" s="181">
        <v>0.22870099999999999</v>
      </c>
      <c r="G666" s="181">
        <v>0.22964699999999999</v>
      </c>
    </row>
    <row r="667" spans="1:7" ht="16.149999999999999">
      <c r="A667" s="177" t="s">
        <v>1119</v>
      </c>
      <c r="B667" s="184">
        <v>45147</v>
      </c>
      <c r="C667" s="179">
        <v>1185331.1599999999</v>
      </c>
      <c r="D667" s="179"/>
      <c r="E667" s="181">
        <v>0.22840299999999999</v>
      </c>
      <c r="F667" s="181">
        <v>0.22725000000000001</v>
      </c>
      <c r="G667" s="181">
        <v>0.229405</v>
      </c>
    </row>
    <row r="668" spans="1:7" ht="16.149999999999999">
      <c r="A668" s="177" t="s">
        <v>1120</v>
      </c>
      <c r="B668" s="184">
        <v>45161</v>
      </c>
      <c r="C668" s="179">
        <v>1968662.362</v>
      </c>
      <c r="D668" s="179"/>
      <c r="E668" s="181">
        <v>0.22873399999999999</v>
      </c>
      <c r="F668" s="181" t="s">
        <v>467</v>
      </c>
      <c r="G668" s="181">
        <v>0.22939599999999999</v>
      </c>
    </row>
    <row r="669" spans="1:7" ht="16.149999999999999">
      <c r="A669" s="177" t="s">
        <v>1121</v>
      </c>
      <c r="B669" s="184">
        <v>45175</v>
      </c>
      <c r="C669" s="179">
        <v>1255998.794</v>
      </c>
      <c r="D669" s="179"/>
      <c r="E669" s="181">
        <v>0.23393800000000001</v>
      </c>
      <c r="F669" s="181">
        <v>0.247868</v>
      </c>
      <c r="G669" s="181">
        <v>0.25056899999999999</v>
      </c>
    </row>
    <row r="670" spans="1:7" ht="16.149999999999999">
      <c r="A670" s="177" t="s">
        <v>1122</v>
      </c>
      <c r="B670" s="184">
        <v>45189</v>
      </c>
      <c r="C670" s="179">
        <v>2250094.7140000002</v>
      </c>
      <c r="D670" s="179"/>
      <c r="E670" s="181">
        <v>0.22756399999999999</v>
      </c>
      <c r="F670" s="181">
        <v>0.22800000000000001</v>
      </c>
      <c r="G670" s="181">
        <v>0.228521</v>
      </c>
    </row>
    <row r="671" spans="1:7" ht="16.149999999999999">
      <c r="A671" s="177" t="s">
        <v>1123</v>
      </c>
      <c r="B671" s="184">
        <v>45203</v>
      </c>
      <c r="C671" s="179">
        <v>519910.96399999998</v>
      </c>
      <c r="D671" s="179"/>
      <c r="E671" s="181">
        <v>0.22395561710741588</v>
      </c>
      <c r="F671" s="181">
        <v>0.22849962126760953</v>
      </c>
      <c r="G671" s="181">
        <v>0.22753074013770758</v>
      </c>
    </row>
    <row r="672" spans="1:7" ht="16.149999999999999">
      <c r="A672" s="177" t="s">
        <v>1124</v>
      </c>
      <c r="B672" s="184">
        <v>45217</v>
      </c>
      <c r="C672" s="179">
        <v>914002.41400000011</v>
      </c>
      <c r="D672" s="179"/>
      <c r="E672" s="181">
        <v>0.2214028210626495</v>
      </c>
      <c r="F672" s="181">
        <v>0.22387607613597388</v>
      </c>
      <c r="G672" s="181">
        <v>0.22070697383576804</v>
      </c>
    </row>
    <row r="673" spans="1:9" ht="16.149999999999999">
      <c r="A673" s="177" t="s">
        <v>1125</v>
      </c>
      <c r="B673" s="184">
        <v>45231</v>
      </c>
      <c r="C673" s="179">
        <v>982899.86800000002</v>
      </c>
      <c r="D673" s="179"/>
      <c r="E673" s="181">
        <v>0.21842800000000001</v>
      </c>
      <c r="F673" s="181">
        <v>0.218417</v>
      </c>
      <c r="G673" s="181">
        <v>0.21910399999999999</v>
      </c>
    </row>
    <row r="674" spans="1:9" ht="16.149999999999999">
      <c r="A674" s="177" t="s">
        <v>1126</v>
      </c>
      <c r="B674" s="184">
        <v>45245</v>
      </c>
      <c r="C674" s="179">
        <v>1025087.818</v>
      </c>
      <c r="D674" s="179"/>
      <c r="E674" s="181">
        <v>0.21287800000000001</v>
      </c>
      <c r="F674" s="181">
        <v>0.214583</v>
      </c>
      <c r="G674" s="181">
        <v>0.214334</v>
      </c>
    </row>
    <row r="675" spans="1:9" ht="16.149999999999999">
      <c r="A675" s="177" t="s">
        <v>1127</v>
      </c>
      <c r="B675" s="184">
        <v>45259</v>
      </c>
      <c r="C675" s="179">
        <v>1015313.019</v>
      </c>
      <c r="D675" s="179"/>
      <c r="E675" s="181">
        <v>0.21339452053451377</v>
      </c>
      <c r="F675" s="181">
        <v>0.21326274698439932</v>
      </c>
      <c r="G675" s="181">
        <v>0.2125691637960927</v>
      </c>
    </row>
    <row r="676" spans="1:9" ht="16.149999999999999">
      <c r="A676" s="177" t="s">
        <v>1128</v>
      </c>
      <c r="B676" s="184">
        <v>45273</v>
      </c>
      <c r="C676" s="179">
        <v>1802080.2879999999</v>
      </c>
      <c r="D676" s="179"/>
      <c r="E676" s="181">
        <v>0.21359</v>
      </c>
      <c r="F676" s="181">
        <v>0.21355399999999999</v>
      </c>
      <c r="G676" s="181">
        <v>0.21410999999999999</v>
      </c>
    </row>
    <row r="677" spans="1:9" ht="16.149999999999999">
      <c r="A677" s="177" t="s">
        <v>1129</v>
      </c>
      <c r="B677" s="184">
        <v>45287</v>
      </c>
      <c r="C677" s="179">
        <v>1678913.3230000001</v>
      </c>
      <c r="D677" s="179"/>
      <c r="E677" s="181">
        <v>0.21320800000000001</v>
      </c>
      <c r="F677" s="181">
        <v>0.21363399999999999</v>
      </c>
      <c r="G677" s="181">
        <v>0.21337100000000001</v>
      </c>
    </row>
    <row r="678" spans="1:9" s="8" customFormat="1" ht="42.6" customHeight="1">
      <c r="A678" s="236"/>
      <c r="B678" s="237" t="s">
        <v>1130</v>
      </c>
      <c r="C678" s="238"/>
      <c r="D678" s="238"/>
      <c r="E678" s="239">
        <f>AVERAGE(E650:E677)</f>
        <v>0.20920895360758382</v>
      </c>
      <c r="F678" s="239">
        <f>AVERAGE(F650:F677)</f>
        <v>0.21343375414548846</v>
      </c>
      <c r="G678" s="239">
        <f>AVERAGE(G650:G677)</f>
        <v>0.21604185681372223</v>
      </c>
      <c r="H678" s="240"/>
      <c r="I678" s="240"/>
    </row>
    <row r="679" spans="1:9" s="8" customFormat="1" ht="42.6" customHeight="1">
      <c r="A679" s="236"/>
      <c r="B679" s="237" t="s">
        <v>1022</v>
      </c>
      <c r="C679" s="238"/>
      <c r="D679" s="238"/>
      <c r="E679" s="340">
        <f>AVERAGE(E678:G678)</f>
        <v>0.21289485485559814</v>
      </c>
      <c r="F679" s="341"/>
      <c r="G679" s="342"/>
      <c r="H679" s="240"/>
      <c r="I679" s="240"/>
    </row>
    <row r="680" spans="1:9" ht="16.149999999999999">
      <c r="A680" s="177" t="s">
        <v>1131</v>
      </c>
      <c r="B680" s="184">
        <v>45301</v>
      </c>
      <c r="C680" s="179">
        <v>238738.92600000001</v>
      </c>
      <c r="D680" s="179"/>
      <c r="E680" s="181">
        <v>0.209672</v>
      </c>
      <c r="F680" s="181">
        <v>0.20960100000000001</v>
      </c>
      <c r="G680" s="181">
        <v>0.207925</v>
      </c>
    </row>
    <row r="681" spans="1:9" ht="16.149999999999999">
      <c r="A681" s="177" t="s">
        <v>1132</v>
      </c>
      <c r="B681" s="184">
        <v>45315</v>
      </c>
      <c r="C681" s="179">
        <v>161643.39694800001</v>
      </c>
      <c r="D681" s="179"/>
      <c r="E681" s="181">
        <v>0.20474451660022636</v>
      </c>
      <c r="F681" s="181">
        <v>0.20395100115976858</v>
      </c>
      <c r="G681" s="181">
        <v>0.20141073335567894</v>
      </c>
    </row>
    <row r="682" spans="1:9" ht="16.149999999999999">
      <c r="A682" s="177" t="s">
        <v>1133</v>
      </c>
      <c r="B682" s="184">
        <v>45328</v>
      </c>
      <c r="C682" s="179">
        <v>58157.165999999997</v>
      </c>
      <c r="D682" s="179"/>
      <c r="E682" s="181">
        <v>0.204399</v>
      </c>
      <c r="F682" s="181">
        <v>0.20395099999999999</v>
      </c>
      <c r="G682" s="181">
        <v>0.19994999999999999</v>
      </c>
    </row>
    <row r="683" spans="1:9" ht="16.149999999999999">
      <c r="A683" s="177" t="s">
        <v>1134</v>
      </c>
      <c r="B683" s="184">
        <v>45343</v>
      </c>
      <c r="C683" s="179">
        <v>341161.41499999998</v>
      </c>
      <c r="D683" s="179"/>
      <c r="E683" s="181">
        <v>0.21312999999999999</v>
      </c>
      <c r="F683" s="181">
        <v>0.20391000000000001</v>
      </c>
      <c r="G683" s="181">
        <v>0.20086799999999999</v>
      </c>
    </row>
    <row r="684" spans="1:9" ht="16.149999999999999">
      <c r="A684" s="177" t="s">
        <v>1135</v>
      </c>
      <c r="B684" s="184">
        <v>45357</v>
      </c>
      <c r="C684" s="179">
        <v>464406.85399999999</v>
      </c>
      <c r="D684" s="179"/>
      <c r="E684" s="181">
        <v>0.21257899999999999</v>
      </c>
      <c r="F684" s="181">
        <v>0.20394899999999999</v>
      </c>
      <c r="G684" s="181">
        <v>0.202593</v>
      </c>
    </row>
    <row r="685" spans="1:9" ht="16.149999999999999">
      <c r="A685" s="177" t="s">
        <v>1136</v>
      </c>
      <c r="B685" s="184">
        <v>45371</v>
      </c>
      <c r="C685" s="179">
        <v>656956.25199400005</v>
      </c>
      <c r="D685" s="179"/>
      <c r="E685" s="181">
        <v>0.21426000000000001</v>
      </c>
      <c r="F685" s="181">
        <v>0.203903</v>
      </c>
      <c r="G685" s="181">
        <v>0.20719099999999999</v>
      </c>
    </row>
    <row r="686" spans="1:9" ht="16.149999999999999">
      <c r="A686" s="177" t="s">
        <v>1137</v>
      </c>
      <c r="B686" s="184">
        <v>45385</v>
      </c>
      <c r="C686" s="179">
        <v>496318.777</v>
      </c>
      <c r="D686" s="179"/>
      <c r="E686" s="181">
        <v>0.2160083300062787</v>
      </c>
      <c r="F686" s="181">
        <v>0.21303453617591028</v>
      </c>
      <c r="G686" s="181">
        <v>0.20839225948907247</v>
      </c>
    </row>
    <row r="687" spans="1:9" ht="16.149999999999999">
      <c r="A687" s="177" t="s">
        <v>1138</v>
      </c>
      <c r="B687" s="184">
        <v>45399</v>
      </c>
      <c r="C687" s="179">
        <v>456714.16700000002</v>
      </c>
      <c r="D687" s="179"/>
      <c r="E687" s="181">
        <v>0.216363</v>
      </c>
      <c r="F687" s="181">
        <v>0.213168</v>
      </c>
      <c r="G687" s="181">
        <v>0.208479</v>
      </c>
    </row>
    <row r="688" spans="1:9" ht="16.149999999999999">
      <c r="A688" s="177" t="s">
        <v>1139</v>
      </c>
      <c r="B688" s="184">
        <v>45412</v>
      </c>
      <c r="C688" s="179">
        <v>220105.88678499998</v>
      </c>
      <c r="D688" s="179"/>
      <c r="E688" s="181">
        <v>0.21589296553578755</v>
      </c>
      <c r="F688" s="181">
        <v>0.21352887819850025</v>
      </c>
      <c r="G688" s="181">
        <v>0.20835820992847187</v>
      </c>
    </row>
    <row r="689" spans="1:9" ht="16.149999999999999">
      <c r="A689" s="177" t="s">
        <v>1140</v>
      </c>
      <c r="B689" s="184">
        <v>45427</v>
      </c>
      <c r="C689" s="179">
        <v>578498.72287199995</v>
      </c>
      <c r="D689" s="179"/>
      <c r="E689" s="181">
        <v>0.21571930295616781</v>
      </c>
      <c r="F689" s="181">
        <v>0.21284504084638059</v>
      </c>
      <c r="G689" s="181">
        <v>0.20361236336150931</v>
      </c>
    </row>
    <row r="690" spans="1:9" ht="16.149999999999999">
      <c r="A690" s="177" t="s">
        <v>1141</v>
      </c>
      <c r="B690" s="184">
        <v>45441</v>
      </c>
      <c r="C690" s="179">
        <v>444572.54865652497</v>
      </c>
      <c r="D690" s="179"/>
      <c r="E690" s="181">
        <v>0.20937446011516606</v>
      </c>
      <c r="F690" s="181">
        <v>0.20860451666500157</v>
      </c>
      <c r="G690" s="181">
        <v>0.19978393198839159</v>
      </c>
    </row>
    <row r="691" spans="1:9" ht="16.149999999999999">
      <c r="A691" s="177" t="s">
        <v>1142</v>
      </c>
      <c r="B691" s="184">
        <v>45455</v>
      </c>
      <c r="C691" s="179">
        <v>1091170.3214380001</v>
      </c>
      <c r="D691" s="179"/>
      <c r="E691" s="181">
        <v>0.19986261370853337</v>
      </c>
      <c r="F691" s="181">
        <v>0.1992832518574448</v>
      </c>
      <c r="G691" s="181">
        <v>0.18848945867966838</v>
      </c>
    </row>
    <row r="692" spans="1:9" ht="16.149999999999999">
      <c r="A692" s="177" t="s">
        <v>1143</v>
      </c>
      <c r="B692" s="184">
        <v>45469</v>
      </c>
      <c r="C692" s="179">
        <v>696395.44938060001</v>
      </c>
      <c r="D692" s="179"/>
      <c r="E692" s="181">
        <v>0.200144805699942</v>
      </c>
      <c r="F692" s="181">
        <v>0.19942725053808111</v>
      </c>
      <c r="G692" s="181">
        <v>0.1848995666770355</v>
      </c>
    </row>
    <row r="693" spans="1:9" ht="16.149999999999999">
      <c r="A693" s="177" t="s">
        <v>1144</v>
      </c>
      <c r="B693" s="184">
        <v>45483</v>
      </c>
      <c r="C693" s="179">
        <v>398918.15117199998</v>
      </c>
      <c r="D693" s="179"/>
      <c r="E693" s="181">
        <v>0.19838373526926861</v>
      </c>
      <c r="F693" s="181">
        <v>0.19683885382219024</v>
      </c>
      <c r="G693" s="181">
        <v>0.18423632714883564</v>
      </c>
    </row>
    <row r="694" spans="1:9" ht="16.149999999999999">
      <c r="A694" s="177" t="s">
        <v>1145</v>
      </c>
      <c r="B694" s="184">
        <v>45497</v>
      </c>
      <c r="C694" s="179">
        <v>432637.79</v>
      </c>
      <c r="D694" s="179"/>
      <c r="E694" s="181">
        <v>0.194852</v>
      </c>
      <c r="F694" s="181">
        <v>0.191908</v>
      </c>
      <c r="G694" s="181">
        <v>0.18127299999999999</v>
      </c>
    </row>
    <row r="695" spans="1:9" ht="16.149999999999999">
      <c r="A695" s="177" t="s">
        <v>1146</v>
      </c>
      <c r="B695" s="184">
        <v>45511</v>
      </c>
      <c r="C695" s="179">
        <v>315611.24</v>
      </c>
      <c r="D695" s="179"/>
      <c r="E695" s="181">
        <v>0.18895899999999999</v>
      </c>
      <c r="F695" s="181">
        <v>0.18732099999999999</v>
      </c>
      <c r="G695" s="181">
        <v>0.17596600000000001</v>
      </c>
      <c r="H695" s="187"/>
      <c r="I695" s="187"/>
    </row>
    <row r="696" spans="1:9" ht="16.149999999999999">
      <c r="A696" s="177" t="s">
        <v>1147</v>
      </c>
      <c r="B696" s="184">
        <v>45525</v>
      </c>
      <c r="C696" s="179">
        <v>358730.57895306003</v>
      </c>
      <c r="D696" s="179"/>
      <c r="E696" s="181">
        <v>0.17465971056601307</v>
      </c>
      <c r="F696" s="181">
        <v>0.1769593296519473</v>
      </c>
      <c r="G696" s="181">
        <v>0.16863118901600144</v>
      </c>
      <c r="H696" s="187"/>
      <c r="I696" s="187"/>
    </row>
    <row r="697" spans="1:9" ht="16.149999999999999">
      <c r="A697" s="177" t="s">
        <v>1148</v>
      </c>
      <c r="B697" s="184">
        <v>45539</v>
      </c>
      <c r="C697" s="179">
        <v>742583.78726506501</v>
      </c>
      <c r="D697" s="179"/>
      <c r="E697" s="181">
        <v>0.17410154295764588</v>
      </c>
      <c r="F697" s="181">
        <v>0.17618316750628224</v>
      </c>
      <c r="G697" s="181">
        <v>0.16827786020244748</v>
      </c>
      <c r="H697" s="187"/>
      <c r="I697" s="187"/>
    </row>
    <row r="698" spans="1:9" ht="16.149999999999999">
      <c r="A698" s="177" t="s">
        <v>1149</v>
      </c>
      <c r="B698" s="184">
        <v>45553</v>
      </c>
      <c r="C698" s="188" t="s">
        <v>467</v>
      </c>
      <c r="D698" s="188"/>
      <c r="E698" s="181" t="s">
        <v>467</v>
      </c>
      <c r="F698" s="181" t="s">
        <v>467</v>
      </c>
      <c r="G698" s="181" t="s">
        <v>467</v>
      </c>
      <c r="H698" s="187"/>
      <c r="I698" s="187"/>
    </row>
    <row r="699" spans="1:9" ht="16.149999999999999">
      <c r="A699" s="177" t="s">
        <v>1150</v>
      </c>
      <c r="B699" s="184">
        <v>45567</v>
      </c>
      <c r="C699" s="179">
        <v>220174.65</v>
      </c>
      <c r="D699" s="179"/>
      <c r="E699" s="181" t="s">
        <v>467</v>
      </c>
      <c r="F699" s="181">
        <v>0.14233000000000001</v>
      </c>
      <c r="G699" s="181">
        <v>0.13497600000000001</v>
      </c>
      <c r="H699" s="187"/>
      <c r="I699" s="187"/>
    </row>
    <row r="700" spans="1:9" ht="16.149999999999999">
      <c r="A700" s="177" t="s">
        <v>1151</v>
      </c>
      <c r="B700" s="184">
        <v>45581</v>
      </c>
      <c r="C700" s="179">
        <v>662075.01699999999</v>
      </c>
      <c r="D700" s="179"/>
      <c r="E700" s="181">
        <v>0.150639</v>
      </c>
      <c r="F700" s="181">
        <v>0.141545</v>
      </c>
      <c r="G700" s="181">
        <v>0.136409</v>
      </c>
      <c r="H700" s="187"/>
      <c r="I700" s="187"/>
    </row>
    <row r="701" spans="1:9" ht="16.149999999999999">
      <c r="A701" s="177" t="s">
        <v>1152</v>
      </c>
      <c r="B701" s="184">
        <v>45595</v>
      </c>
      <c r="C701" s="179">
        <v>747993.72199750005</v>
      </c>
      <c r="D701" s="179"/>
      <c r="E701" s="181">
        <v>0.13867576440515197</v>
      </c>
      <c r="F701" s="181">
        <v>0.13341319039787486</v>
      </c>
      <c r="G701" s="181">
        <v>0.12934422208092008</v>
      </c>
      <c r="H701" s="187"/>
      <c r="I701" s="187"/>
    </row>
    <row r="702" spans="1:9" ht="16.149999999999999">
      <c r="A702" s="177" t="s">
        <v>1153</v>
      </c>
      <c r="B702" s="184">
        <v>45609</v>
      </c>
      <c r="C702" s="179">
        <v>722307.25</v>
      </c>
      <c r="D702" s="179"/>
      <c r="E702" s="181">
        <v>0.13454912293362428</v>
      </c>
      <c r="F702" s="181">
        <v>0.13421539883467531</v>
      </c>
      <c r="G702" s="181">
        <v>0.13017826623376319</v>
      </c>
      <c r="H702" s="187"/>
      <c r="I702" s="187"/>
    </row>
    <row r="703" spans="1:9" ht="16.149999999999999">
      <c r="A703" s="177" t="s">
        <v>1154</v>
      </c>
      <c r="B703" s="184">
        <v>45623</v>
      </c>
      <c r="C703" s="179">
        <v>568245.505</v>
      </c>
      <c r="D703" s="179"/>
      <c r="E703" s="181">
        <v>0.12936</v>
      </c>
      <c r="F703" s="181">
        <v>0.128192</v>
      </c>
      <c r="G703" s="181">
        <v>0.12102499999999999</v>
      </c>
      <c r="H703" s="187"/>
      <c r="I703" s="187"/>
    </row>
    <row r="704" spans="1:9" ht="16.149999999999999">
      <c r="A704" s="177" t="s">
        <v>1155</v>
      </c>
      <c r="B704" s="184">
        <v>45637</v>
      </c>
      <c r="C704" s="179">
        <v>1159841.5349999999</v>
      </c>
      <c r="D704" s="179"/>
      <c r="E704" s="181">
        <v>0.118217</v>
      </c>
      <c r="F704" s="181">
        <v>0.119313</v>
      </c>
      <c r="G704" s="181">
        <v>0.119757</v>
      </c>
      <c r="H704" s="187"/>
      <c r="I704" s="187"/>
    </row>
    <row r="705" spans="1:9" ht="16.149999999999999">
      <c r="A705" s="177" t="s">
        <v>1156</v>
      </c>
      <c r="B705" s="184">
        <v>45650</v>
      </c>
      <c r="C705" s="179">
        <v>858743.57499999995</v>
      </c>
      <c r="D705" s="179"/>
      <c r="E705" s="181">
        <v>0.118517</v>
      </c>
      <c r="F705" s="181">
        <v>0.11890100000000001</v>
      </c>
      <c r="G705" s="181">
        <v>0.12193</v>
      </c>
      <c r="H705" s="187"/>
      <c r="I705" s="187"/>
    </row>
    <row r="706" spans="1:9" s="8" customFormat="1" ht="42.6" customHeight="1">
      <c r="A706" s="236"/>
      <c r="B706" s="237" t="s">
        <v>1157</v>
      </c>
      <c r="C706" s="238"/>
      <c r="D706" s="238"/>
      <c r="E706" s="239">
        <f>AVERAGE(E681:E705)</f>
        <v>0.18449529872842635</v>
      </c>
      <c r="F706" s="239">
        <f>AVERAGE(F681:F705)</f>
        <v>0.18027814231891903</v>
      </c>
      <c r="G706" s="239">
        <f>AVERAGE(G681:G705)</f>
        <v>0.17441797450674149</v>
      </c>
      <c r="H706" s="240"/>
      <c r="I706" s="240"/>
    </row>
    <row r="707" spans="1:9" s="8" customFormat="1" ht="42.6" customHeight="1">
      <c r="A707" s="236"/>
      <c r="B707" s="237" t="s">
        <v>1022</v>
      </c>
      <c r="C707" s="238"/>
      <c r="D707" s="238"/>
      <c r="E707" s="340">
        <f>AVERAGE(E706:G706)</f>
        <v>0.17973047185136229</v>
      </c>
      <c r="F707" s="341"/>
      <c r="G707" s="342"/>
      <c r="H707" s="240"/>
      <c r="I707" s="240"/>
    </row>
    <row r="708" spans="1:9" ht="16.149999999999999">
      <c r="A708" s="177" t="s">
        <v>1158</v>
      </c>
      <c r="B708" s="184">
        <v>45665</v>
      </c>
      <c r="C708" s="179">
        <v>402512.228</v>
      </c>
      <c r="D708" s="179"/>
      <c r="E708" s="181">
        <v>0.117064</v>
      </c>
      <c r="F708" s="181">
        <v>0.117258</v>
      </c>
      <c r="G708" s="181">
        <v>0.117226</v>
      </c>
      <c r="H708" s="187"/>
      <c r="I708" s="187"/>
    </row>
    <row r="709" spans="1:9" ht="16.149999999999999">
      <c r="A709" s="177" t="s">
        <v>1159</v>
      </c>
      <c r="B709" s="184">
        <v>45679</v>
      </c>
      <c r="C709" s="179">
        <v>297086.97499999998</v>
      </c>
      <c r="D709" s="179"/>
      <c r="E709" s="181">
        <v>0.115854</v>
      </c>
      <c r="F709" s="181">
        <v>0.114048</v>
      </c>
      <c r="G709" s="181">
        <v>0.113459</v>
      </c>
      <c r="H709" s="187"/>
      <c r="I709" s="187"/>
    </row>
    <row r="710" spans="1:9" ht="16.149999999999999">
      <c r="A710" s="177" t="s">
        <v>1160</v>
      </c>
      <c r="B710" s="184">
        <v>45692</v>
      </c>
      <c r="C710" s="179">
        <v>420726.994089905</v>
      </c>
      <c r="D710" s="179"/>
      <c r="E710" s="181">
        <v>0.11665346645755849</v>
      </c>
      <c r="F710" s="181">
        <v>0.11409200842731361</v>
      </c>
      <c r="G710" s="181">
        <v>0.1137871809189606</v>
      </c>
      <c r="H710" s="187"/>
      <c r="I710" s="187"/>
    </row>
    <row r="711" spans="1:9" ht="16.149999999999999">
      <c r="A711" s="177" t="s">
        <v>1161</v>
      </c>
      <c r="B711" s="184">
        <v>45707</v>
      </c>
      <c r="C711" s="179">
        <v>244499.56400000001</v>
      </c>
      <c r="D711" s="179"/>
      <c r="E711" s="181">
        <v>0.11695999999999999</v>
      </c>
      <c r="F711" s="181">
        <v>0.116424</v>
      </c>
      <c r="G711" s="181">
        <v>0.115777</v>
      </c>
      <c r="H711" s="187"/>
      <c r="I711" s="187"/>
    </row>
    <row r="712" spans="1:9" ht="16.149999999999999">
      <c r="A712" s="177" t="s">
        <v>1162</v>
      </c>
      <c r="B712" s="184">
        <v>45721</v>
      </c>
      <c r="C712" s="179">
        <v>545492.38100000005</v>
      </c>
      <c r="D712" s="179"/>
      <c r="E712" s="181">
        <v>0.11701300000000001</v>
      </c>
      <c r="F712" s="181">
        <v>0.11657000000000001</v>
      </c>
      <c r="G712" s="181">
        <v>0.11552</v>
      </c>
      <c r="H712" s="187"/>
      <c r="I712" s="187"/>
    </row>
    <row r="713" spans="1:9" ht="16.149999999999999">
      <c r="A713" s="177" t="s">
        <v>1163</v>
      </c>
      <c r="B713" s="184">
        <v>45735</v>
      </c>
      <c r="C713" s="179">
        <v>374760</v>
      </c>
      <c r="D713" s="181">
        <v>0.12049255358784178</v>
      </c>
      <c r="E713" s="181">
        <v>0.11721201737487193</v>
      </c>
      <c r="F713" s="181">
        <v>0.11669944535734306</v>
      </c>
      <c r="G713" s="181">
        <v>0.11864774193367598</v>
      </c>
      <c r="H713" s="187"/>
      <c r="I713" s="187"/>
    </row>
    <row r="714" spans="1:9" ht="16.149999999999999">
      <c r="A714" s="177" t="s">
        <v>1164</v>
      </c>
      <c r="B714" s="184">
        <v>45742</v>
      </c>
      <c r="C714" s="179">
        <v>606974</v>
      </c>
      <c r="D714" s="181">
        <v>0.12248336114738266</v>
      </c>
      <c r="E714" s="181">
        <v>0.11825567252704265</v>
      </c>
      <c r="F714" s="181">
        <v>0.11923007458210488</v>
      </c>
      <c r="G714" s="181">
        <v>0.11896857664725673</v>
      </c>
      <c r="H714" s="187"/>
      <c r="I714" s="187"/>
    </row>
    <row r="715" spans="1:9" ht="16.149999999999999">
      <c r="A715" s="177" t="s">
        <v>1165</v>
      </c>
      <c r="B715" s="184">
        <v>45763</v>
      </c>
      <c r="C715" s="179">
        <v>904213.07532099984</v>
      </c>
      <c r="D715" s="181">
        <v>0.1228573920274887</v>
      </c>
      <c r="E715" s="181">
        <v>0.11962504517417355</v>
      </c>
      <c r="F715" s="181">
        <v>0.11947341337915945</v>
      </c>
      <c r="G715" s="181">
        <v>0.11928773929733358</v>
      </c>
      <c r="H715" s="187"/>
      <c r="I715" s="187"/>
    </row>
    <row r="716" spans="1:9" ht="16.149999999999999">
      <c r="A716" s="177" t="s">
        <v>1166</v>
      </c>
      <c r="B716" s="184">
        <v>45777</v>
      </c>
      <c r="C716" s="179">
        <v>525685.24574464001</v>
      </c>
      <c r="D716" s="181">
        <v>0.12141581313089798</v>
      </c>
      <c r="E716" s="181">
        <v>0.11980291282968587</v>
      </c>
      <c r="F716" s="181">
        <v>0.11968880178115228</v>
      </c>
      <c r="G716" s="181">
        <v>0.11969427458439336</v>
      </c>
      <c r="H716" s="187"/>
      <c r="I716" s="187"/>
    </row>
    <row r="717" spans="1:9" ht="16.149999999999999">
      <c r="A717" s="177" t="s">
        <v>1167</v>
      </c>
      <c r="B717" s="184">
        <v>45791</v>
      </c>
      <c r="C717" s="179">
        <v>638720.49949899991</v>
      </c>
      <c r="D717" s="181">
        <v>0.111831</v>
      </c>
      <c r="E717" s="181">
        <v>0.112097</v>
      </c>
      <c r="F717" s="181">
        <v>0.11246399999999999</v>
      </c>
      <c r="G717" s="181">
        <v>0.11316900000000001</v>
      </c>
      <c r="H717" s="187"/>
      <c r="I717" s="187"/>
    </row>
    <row r="718" spans="1:9" ht="16.149999999999999">
      <c r="A718" s="177" t="s">
        <v>1168</v>
      </c>
      <c r="B718" s="184">
        <v>45804</v>
      </c>
      <c r="C718" s="179">
        <v>719884.33886399993</v>
      </c>
      <c r="D718" s="181">
        <v>0.11099768920423762</v>
      </c>
      <c r="E718" s="181">
        <v>0.1113439598431937</v>
      </c>
      <c r="F718" s="181">
        <v>0.11112811063706741</v>
      </c>
      <c r="G718" s="181">
        <v>0.11161127343718458</v>
      </c>
      <c r="H718" s="187"/>
      <c r="I718" s="187"/>
    </row>
    <row r="719" spans="1:9" ht="16.149999999999999">
      <c r="A719" s="177" t="s">
        <v>1169</v>
      </c>
      <c r="B719" s="184">
        <v>45819</v>
      </c>
      <c r="C719" s="179">
        <v>815139.02257199993</v>
      </c>
      <c r="D719" s="181">
        <v>0.11064813506658155</v>
      </c>
      <c r="E719" s="181">
        <v>0.1094839774939398</v>
      </c>
      <c r="F719" s="181">
        <v>0.10952082865079546</v>
      </c>
      <c r="G719" s="181">
        <v>0.10921966448691933</v>
      </c>
      <c r="H719" s="187"/>
      <c r="I719" s="187"/>
    </row>
    <row r="720" spans="1:9" ht="16.149999999999999">
      <c r="A720" s="177" t="s">
        <v>1170</v>
      </c>
      <c r="B720" s="184">
        <v>45826</v>
      </c>
      <c r="C720" s="179">
        <v>909409.79</v>
      </c>
      <c r="D720" s="181">
        <v>0.112952</v>
      </c>
      <c r="E720" s="181"/>
      <c r="F720" s="181"/>
      <c r="G720" s="181"/>
      <c r="H720" s="187"/>
      <c r="I720" s="187"/>
    </row>
    <row r="721" spans="1:9" ht="16.149999999999999">
      <c r="A721" s="177" t="s">
        <v>1171</v>
      </c>
      <c r="B721" s="184">
        <v>45833</v>
      </c>
      <c r="C721" s="179">
        <v>322589.5438017</v>
      </c>
      <c r="D721" s="181">
        <v>0.11000336530371821</v>
      </c>
      <c r="E721" s="181">
        <v>0.10953016696742267</v>
      </c>
      <c r="F721" s="181">
        <v>0.10897443677541209</v>
      </c>
      <c r="G721" s="181">
        <v>0.10878662988306197</v>
      </c>
      <c r="H721" s="187"/>
      <c r="I721" s="187"/>
    </row>
    <row r="722" spans="1:9" ht="16.149999999999999">
      <c r="A722" s="177" t="s">
        <v>1172</v>
      </c>
      <c r="B722" s="184">
        <v>45847</v>
      </c>
      <c r="C722" s="179">
        <v>1413388.81</v>
      </c>
      <c r="D722" s="181">
        <v>0.110804</v>
      </c>
      <c r="E722" s="181">
        <v>0.108626</v>
      </c>
      <c r="F722" s="181">
        <v>0.107463</v>
      </c>
      <c r="G722" s="181">
        <v>0.106742</v>
      </c>
      <c r="H722" s="187"/>
      <c r="I722" s="187"/>
    </row>
    <row r="723" spans="1:9" ht="16.149999999999999">
      <c r="A723" s="177" t="s">
        <v>1173</v>
      </c>
      <c r="B723" s="184">
        <v>45861</v>
      </c>
      <c r="C723" s="179">
        <v>408749.86599999998</v>
      </c>
      <c r="D723" s="181">
        <v>0.108505</v>
      </c>
      <c r="E723" s="181">
        <v>0.10675</v>
      </c>
      <c r="F723" s="181">
        <v>0.106834</v>
      </c>
      <c r="G723" s="181">
        <v>0.10670399999999999</v>
      </c>
      <c r="H723" s="187"/>
      <c r="I723" s="187"/>
    </row>
    <row r="724" spans="1:9" ht="16.149999999999999">
      <c r="A724" s="177" t="s">
        <v>1174</v>
      </c>
      <c r="B724" s="184">
        <v>45875</v>
      </c>
      <c r="C724" s="179">
        <v>369584.03372572991</v>
      </c>
      <c r="D724" s="181">
        <v>0.10870494945018225</v>
      </c>
      <c r="E724" s="181">
        <v>0.10800497709627872</v>
      </c>
      <c r="F724" s="181">
        <v>0.10776272838857352</v>
      </c>
      <c r="G724" s="181">
        <v>0.10897982902697208</v>
      </c>
      <c r="H724" s="187"/>
      <c r="I724" s="187"/>
    </row>
    <row r="725" spans="1:9" ht="16.149999999999999">
      <c r="A725" s="177" t="s">
        <v>1175</v>
      </c>
      <c r="B725" s="184">
        <v>45889</v>
      </c>
      <c r="C725" s="179">
        <v>491643.74699999997</v>
      </c>
      <c r="D725" s="181">
        <v>0.10871500000000001</v>
      </c>
      <c r="E725" s="181">
        <v>0.10820399999999999</v>
      </c>
      <c r="F725" s="181">
        <v>0.108296</v>
      </c>
      <c r="G725" s="181">
        <v>0.109421</v>
      </c>
      <c r="H725" s="187"/>
      <c r="I725" s="187"/>
    </row>
    <row r="726" spans="1:9" ht="16.149999999999999">
      <c r="A726" s="177" t="s">
        <v>1176</v>
      </c>
      <c r="B726" s="184">
        <v>45903</v>
      </c>
      <c r="C726" s="179">
        <v>491108.54100000003</v>
      </c>
      <c r="D726" s="181">
        <v>0.107267</v>
      </c>
      <c r="E726" s="181">
        <v>0.108295</v>
      </c>
      <c r="F726" s="181">
        <v>0.10826</v>
      </c>
      <c r="G726" s="181">
        <v>0.109835</v>
      </c>
      <c r="H726" s="187"/>
      <c r="I726" s="187"/>
    </row>
    <row r="727" spans="1:9" ht="16.149999999999999">
      <c r="A727" s="177" t="s">
        <v>1177</v>
      </c>
      <c r="B727" s="184">
        <v>45917</v>
      </c>
      <c r="C727" s="179">
        <v>194869.052</v>
      </c>
      <c r="D727" s="181">
        <v>0.107443</v>
      </c>
      <c r="E727" s="181">
        <v>0.107865</v>
      </c>
      <c r="F727" s="181">
        <v>0.107555</v>
      </c>
      <c r="G727" s="181">
        <v>0.109873</v>
      </c>
      <c r="H727" s="187"/>
      <c r="I727" s="187"/>
    </row>
    <row r="728" spans="1:9">
      <c r="A728" s="189"/>
      <c r="B728" s="190"/>
      <c r="C728" s="190"/>
      <c r="D728" s="190"/>
      <c r="E728" s="190"/>
      <c r="F728" s="190"/>
      <c r="G728" s="191"/>
    </row>
    <row r="729" spans="1:9">
      <c r="A729" s="185" t="s">
        <v>1178</v>
      </c>
      <c r="B729" s="185"/>
      <c r="C729" s="185"/>
      <c r="D729" s="185"/>
      <c r="E729" s="185"/>
      <c r="F729" s="185"/>
      <c r="G729" s="185"/>
    </row>
    <row r="730" spans="1:9">
      <c r="A730" s="185"/>
      <c r="B730" s="185"/>
      <c r="C730" s="185"/>
      <c r="D730" s="185"/>
      <c r="E730" s="185"/>
      <c r="F730" s="185"/>
      <c r="G730" s="185"/>
    </row>
    <row r="731" spans="1:9">
      <c r="A731" s="344" t="s">
        <v>1179</v>
      </c>
      <c r="B731" s="344"/>
      <c r="C731" s="344"/>
      <c r="D731" s="344"/>
      <c r="E731" s="344"/>
      <c r="F731" s="344"/>
      <c r="G731" s="344"/>
    </row>
    <row r="732" spans="1:9">
      <c r="A732" s="343" t="s">
        <v>1180</v>
      </c>
      <c r="B732" s="343"/>
      <c r="C732" s="343"/>
      <c r="D732" s="343"/>
      <c r="E732" s="343"/>
      <c r="F732" s="343"/>
      <c r="G732" s="343"/>
    </row>
  </sheetData>
  <mergeCells count="18">
    <mergeCell ref="E651:G651"/>
    <mergeCell ref="E623:G623"/>
    <mergeCell ref="E595:G595"/>
    <mergeCell ref="E567:G567"/>
    <mergeCell ref="A732:G732"/>
    <mergeCell ref="A731:G731"/>
    <mergeCell ref="E707:G707"/>
    <mergeCell ref="E679:G679"/>
    <mergeCell ref="A1:G1"/>
    <mergeCell ref="A2:G2"/>
    <mergeCell ref="A3:G3"/>
    <mergeCell ref="A4:G4"/>
    <mergeCell ref="A5:G5"/>
    <mergeCell ref="A6:G6"/>
    <mergeCell ref="F7:G7"/>
    <mergeCell ref="A8:A9"/>
    <mergeCell ref="B8:B9"/>
    <mergeCell ref="C8:C9"/>
  </mergeCells>
  <pageMargins left="0.7" right="0.7" top="0.5" bottom="0.5" header="0.3" footer="0.3"/>
  <pageSetup paperSize="9" scale="93" fitToHeight="24" orientation="portrait" r:id="rId1"/>
  <rowBreaks count="1" manualBreakCount="1">
    <brk id="638"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3983-C368-4BD8-B0C8-FCDCB2E73F5E}">
  <dimension ref="A1:J553"/>
  <sheetViews>
    <sheetView workbookViewId="0">
      <selection activeCell="I496" sqref="I496"/>
    </sheetView>
  </sheetViews>
  <sheetFormatPr defaultColWidth="8.85546875" defaultRowHeight="13.15"/>
  <cols>
    <col min="1" max="1" width="36.42578125" style="193" customWidth="1"/>
    <col min="2" max="2" width="22.85546875" style="193" customWidth="1"/>
    <col min="3" max="4" width="13.5703125" style="193" customWidth="1"/>
    <col min="5" max="6" width="18.28515625" style="193" customWidth="1"/>
    <col min="7" max="8" width="8.85546875" style="193"/>
    <col min="9" max="9" width="23.7109375" style="193" customWidth="1"/>
    <col min="10" max="10" width="18.85546875" style="193" customWidth="1"/>
    <col min="11" max="16384" width="8.85546875" style="193"/>
  </cols>
  <sheetData>
    <row r="1" spans="1:6" ht="23.25" customHeight="1">
      <c r="A1" s="424" t="s">
        <v>1181</v>
      </c>
      <c r="B1" s="424"/>
      <c r="C1" s="424"/>
      <c r="D1" s="424"/>
      <c r="E1" s="424"/>
      <c r="F1" s="424"/>
    </row>
    <row r="2" spans="1:6" ht="22.9" customHeight="1">
      <c r="A2" s="451" t="s">
        <v>1182</v>
      </c>
      <c r="B2" s="451"/>
      <c r="C2" s="451"/>
      <c r="D2" s="451"/>
      <c r="E2" s="451"/>
      <c r="F2" s="451"/>
    </row>
    <row r="3" spans="1:6" ht="29.25" customHeight="1">
      <c r="A3" s="452" t="s">
        <v>1183</v>
      </c>
      <c r="B3" s="452"/>
      <c r="C3" s="452"/>
      <c r="D3" s="452"/>
      <c r="E3" s="452"/>
      <c r="F3" s="452"/>
    </row>
    <row r="4" spans="1:6" ht="37.15" customHeight="1">
      <c r="A4" s="194"/>
      <c r="B4" s="453" t="s">
        <v>1184</v>
      </c>
      <c r="C4" s="454" t="s">
        <v>1185</v>
      </c>
      <c r="D4" s="455" t="s">
        <v>1186</v>
      </c>
      <c r="E4" s="456" t="s">
        <v>1187</v>
      </c>
      <c r="F4" s="453" t="s">
        <v>1188</v>
      </c>
    </row>
    <row r="5" spans="1:6" ht="14.65" customHeight="1">
      <c r="A5" s="425" t="s">
        <v>1189</v>
      </c>
      <c r="B5" s="425"/>
      <c r="C5" s="425"/>
      <c r="D5" s="425"/>
      <c r="E5" s="425"/>
      <c r="F5" s="425"/>
    </row>
    <row r="6" spans="1:6" ht="15.75" customHeight="1">
      <c r="A6" s="395" t="s">
        <v>1190</v>
      </c>
      <c r="B6" s="391"/>
      <c r="C6" s="195" t="s">
        <v>1191</v>
      </c>
      <c r="D6" s="196">
        <v>8.7499999999999994E-2</v>
      </c>
      <c r="E6" s="197">
        <v>733</v>
      </c>
      <c r="F6" s="198">
        <v>8.4737999999999994E-2</v>
      </c>
    </row>
    <row r="7" spans="1:6" ht="14.65" customHeight="1">
      <c r="A7" s="396"/>
      <c r="B7" s="397"/>
      <c r="C7" s="195" t="s">
        <v>1192</v>
      </c>
      <c r="D7" s="196">
        <v>0.1075</v>
      </c>
      <c r="E7" s="199" t="s">
        <v>1193</v>
      </c>
      <c r="F7" s="200" t="s">
        <v>1194</v>
      </c>
    </row>
    <row r="8" spans="1:6" ht="29.65" customHeight="1">
      <c r="A8" s="421">
        <v>6865</v>
      </c>
      <c r="B8" s="421"/>
      <c r="C8" s="421"/>
      <c r="D8" s="421"/>
      <c r="E8" s="421"/>
      <c r="F8" s="421"/>
    </row>
    <row r="9" spans="1:6" ht="14.65" customHeight="1">
      <c r="A9" s="395" t="s">
        <v>1195</v>
      </c>
      <c r="B9" s="412" t="s">
        <v>1196</v>
      </c>
      <c r="C9" s="195" t="s">
        <v>1197</v>
      </c>
      <c r="D9" s="196">
        <v>7.0000000000000007E-2</v>
      </c>
      <c r="E9" s="201">
        <v>2674.9</v>
      </c>
      <c r="F9" s="198">
        <v>7.4676999999999993E-2</v>
      </c>
    </row>
    <row r="10" spans="1:6" ht="14.65" customHeight="1">
      <c r="A10" s="411"/>
      <c r="B10" s="413"/>
      <c r="C10" s="195" t="s">
        <v>1198</v>
      </c>
      <c r="D10" s="196">
        <v>7.7499999999999999E-2</v>
      </c>
      <c r="E10" s="197">
        <v>540.4</v>
      </c>
      <c r="F10" s="198">
        <v>8.4794999999999995E-2</v>
      </c>
    </row>
    <row r="11" spans="1:6" ht="14.65" customHeight="1">
      <c r="A11" s="411"/>
      <c r="B11" s="413"/>
      <c r="C11" s="195" t="s">
        <v>1191</v>
      </c>
      <c r="D11" s="196">
        <v>8.7499999999999994E-2</v>
      </c>
      <c r="E11" s="197">
        <v>596.79999999999995</v>
      </c>
      <c r="F11" s="198">
        <v>8.6999000000000007E-2</v>
      </c>
    </row>
    <row r="12" spans="1:6" ht="14.65" customHeight="1">
      <c r="A12" s="396"/>
      <c r="B12" s="414"/>
      <c r="C12" s="195" t="s">
        <v>1192</v>
      </c>
      <c r="D12" s="196">
        <v>0.1075</v>
      </c>
      <c r="E12" s="199" t="s">
        <v>1193</v>
      </c>
      <c r="F12" s="200" t="s">
        <v>1194</v>
      </c>
    </row>
    <row r="13" spans="1:6" ht="29.65" customHeight="1">
      <c r="A13" s="421">
        <v>3812.1</v>
      </c>
      <c r="B13" s="421"/>
      <c r="C13" s="421"/>
      <c r="D13" s="421"/>
      <c r="E13" s="421"/>
      <c r="F13" s="421"/>
    </row>
    <row r="14" spans="1:6" ht="14.65" customHeight="1">
      <c r="A14" s="426" t="s">
        <v>1199</v>
      </c>
      <c r="B14" s="412" t="s">
        <v>1200</v>
      </c>
      <c r="C14" s="195" t="s">
        <v>1197</v>
      </c>
      <c r="D14" s="196">
        <v>7.2499999999999995E-2</v>
      </c>
      <c r="E14" s="422" t="s">
        <v>1201</v>
      </c>
      <c r="F14" s="423"/>
    </row>
    <row r="15" spans="1:6" ht="14.65" customHeight="1">
      <c r="A15" s="427"/>
      <c r="B15" s="413"/>
      <c r="C15" s="195" t="s">
        <v>1198</v>
      </c>
      <c r="D15" s="196">
        <v>0.08</v>
      </c>
      <c r="E15" s="422" t="s">
        <v>1201</v>
      </c>
      <c r="F15" s="423"/>
    </row>
    <row r="16" spans="1:6" ht="14.65" customHeight="1">
      <c r="A16" s="427"/>
      <c r="B16" s="413"/>
      <c r="C16" s="195" t="s">
        <v>1191</v>
      </c>
      <c r="D16" s="196">
        <v>8.7499999999999994E-2</v>
      </c>
      <c r="E16" s="393" t="s">
        <v>1194</v>
      </c>
      <c r="F16" s="394"/>
    </row>
    <row r="17" spans="1:6" ht="14.65" customHeight="1">
      <c r="A17" s="428"/>
      <c r="B17" s="414"/>
      <c r="C17" s="195" t="s">
        <v>1192</v>
      </c>
      <c r="D17" s="196">
        <v>0.1075</v>
      </c>
      <c r="E17" s="429"/>
      <c r="F17" s="430"/>
    </row>
    <row r="18" spans="1:6" ht="29.65" customHeight="1">
      <c r="A18" s="457" t="s">
        <v>1202</v>
      </c>
      <c r="B18" s="457"/>
      <c r="C18" s="457"/>
      <c r="D18" s="457"/>
      <c r="E18" s="457"/>
      <c r="F18" s="457"/>
    </row>
    <row r="19" spans="1:6" ht="14.65" customHeight="1">
      <c r="A19" s="395" t="s">
        <v>1203</v>
      </c>
      <c r="B19" s="412" t="s">
        <v>1204</v>
      </c>
      <c r="C19" s="195" t="s">
        <v>1197</v>
      </c>
      <c r="D19" s="196">
        <v>7.2499999999999995E-2</v>
      </c>
      <c r="E19" s="422" t="s">
        <v>1201</v>
      </c>
      <c r="F19" s="423"/>
    </row>
    <row r="20" spans="1:6" ht="14.65" customHeight="1">
      <c r="A20" s="411"/>
      <c r="B20" s="413"/>
      <c r="C20" s="195" t="s">
        <v>1198</v>
      </c>
      <c r="D20" s="196">
        <v>0.08</v>
      </c>
      <c r="E20" s="201">
        <v>15918</v>
      </c>
      <c r="F20" s="198">
        <v>9.2499999999999999E-2</v>
      </c>
    </row>
    <row r="21" spans="1:6" ht="14.65" customHeight="1">
      <c r="A21" s="411"/>
      <c r="B21" s="413"/>
      <c r="C21" s="195" t="s">
        <v>1191</v>
      </c>
      <c r="D21" s="196">
        <v>8.7499999999999994E-2</v>
      </c>
      <c r="E21" s="422" t="s">
        <v>1201</v>
      </c>
      <c r="F21" s="423"/>
    </row>
    <row r="22" spans="1:6" ht="14.65" customHeight="1">
      <c r="A22" s="396"/>
      <c r="B22" s="414"/>
      <c r="C22" s="195" t="s">
        <v>1192</v>
      </c>
      <c r="D22" s="196">
        <v>0.1075</v>
      </c>
      <c r="E22" s="359" t="s">
        <v>1194</v>
      </c>
      <c r="F22" s="360"/>
    </row>
    <row r="23" spans="1:6" ht="29.65" customHeight="1">
      <c r="A23" s="421">
        <v>15918</v>
      </c>
      <c r="B23" s="421"/>
      <c r="C23" s="421"/>
      <c r="D23" s="421"/>
      <c r="E23" s="421"/>
      <c r="F23" s="421"/>
    </row>
    <row r="24" spans="1:6" ht="14.65" customHeight="1">
      <c r="A24" s="395" t="s">
        <v>1205</v>
      </c>
      <c r="B24" s="418" t="s">
        <v>1206</v>
      </c>
      <c r="C24" s="195" t="s">
        <v>1197</v>
      </c>
      <c r="D24" s="196">
        <v>7.2499999999999995E-2</v>
      </c>
      <c r="E24" s="422" t="s">
        <v>1201</v>
      </c>
      <c r="F24" s="423"/>
    </row>
    <row r="25" spans="1:6" ht="14.65" customHeight="1">
      <c r="A25" s="411"/>
      <c r="B25" s="419"/>
      <c r="C25" s="195" t="s">
        <v>1198</v>
      </c>
      <c r="D25" s="196">
        <v>0.08</v>
      </c>
      <c r="E25" s="201">
        <v>4668</v>
      </c>
      <c r="F25" s="198">
        <v>9.2499999999999999E-2</v>
      </c>
    </row>
    <row r="26" spans="1:6" ht="14.65" customHeight="1">
      <c r="A26" s="411"/>
      <c r="B26" s="419"/>
      <c r="C26" s="195" t="s">
        <v>1191</v>
      </c>
      <c r="D26" s="196">
        <v>8.7499999999999994E-2</v>
      </c>
      <c r="E26" s="422" t="s">
        <v>1201</v>
      </c>
      <c r="F26" s="423"/>
    </row>
    <row r="27" spans="1:6" ht="14.65" customHeight="1">
      <c r="A27" s="396"/>
      <c r="B27" s="420"/>
      <c r="C27" s="195" t="s">
        <v>1192</v>
      </c>
      <c r="D27" s="196">
        <v>0.1075</v>
      </c>
      <c r="E27" s="359" t="s">
        <v>1194</v>
      </c>
      <c r="F27" s="360"/>
    </row>
    <row r="28" spans="1:6" ht="29.65" customHeight="1">
      <c r="A28" s="421">
        <v>4668</v>
      </c>
      <c r="B28" s="421"/>
      <c r="C28" s="421"/>
      <c r="D28" s="421"/>
      <c r="E28" s="421"/>
      <c r="F28" s="421"/>
    </row>
    <row r="29" spans="1:6" ht="14.65" customHeight="1">
      <c r="A29" s="395" t="s">
        <v>1207</v>
      </c>
      <c r="B29" s="418" t="s">
        <v>1208</v>
      </c>
      <c r="C29" s="195" t="s">
        <v>1197</v>
      </c>
      <c r="D29" s="196">
        <v>7.2499999999999995E-2</v>
      </c>
      <c r="E29" s="422" t="s">
        <v>1201</v>
      </c>
      <c r="F29" s="423"/>
    </row>
    <row r="30" spans="1:6" ht="14.65" customHeight="1">
      <c r="A30" s="411"/>
      <c r="B30" s="419"/>
      <c r="C30" s="195" t="s">
        <v>1198</v>
      </c>
      <c r="D30" s="196">
        <v>0.08</v>
      </c>
      <c r="E30" s="422" t="s">
        <v>1201</v>
      </c>
      <c r="F30" s="423"/>
    </row>
    <row r="31" spans="1:6" ht="14.65" customHeight="1">
      <c r="A31" s="411"/>
      <c r="B31" s="419"/>
      <c r="C31" s="195" t="s">
        <v>1191</v>
      </c>
      <c r="D31" s="196">
        <v>8.7499999999999994E-2</v>
      </c>
      <c r="E31" s="422" t="s">
        <v>1201</v>
      </c>
      <c r="F31" s="423"/>
    </row>
    <row r="32" spans="1:6" ht="14.65" customHeight="1">
      <c r="A32" s="396"/>
      <c r="B32" s="420"/>
      <c r="C32" s="195" t="s">
        <v>1192</v>
      </c>
      <c r="D32" s="196">
        <v>0.1075</v>
      </c>
      <c r="E32" s="359" t="s">
        <v>1194</v>
      </c>
      <c r="F32" s="360"/>
    </row>
    <row r="33" spans="1:6" ht="29.65" customHeight="1">
      <c r="A33" s="457" t="s">
        <v>1202</v>
      </c>
      <c r="B33" s="457"/>
      <c r="C33" s="457"/>
      <c r="D33" s="457"/>
      <c r="E33" s="457"/>
      <c r="F33" s="457"/>
    </row>
    <row r="34" spans="1:6" ht="14.65" customHeight="1">
      <c r="A34" s="395" t="s">
        <v>1209</v>
      </c>
      <c r="B34" s="415" t="s">
        <v>1210</v>
      </c>
      <c r="C34" s="195" t="s">
        <v>1197</v>
      </c>
      <c r="D34" s="196">
        <v>7.2499999999999995E-2</v>
      </c>
      <c r="E34" s="422" t="s">
        <v>1201</v>
      </c>
      <c r="F34" s="423"/>
    </row>
    <row r="35" spans="1:6" ht="14.65" customHeight="1">
      <c r="A35" s="411"/>
      <c r="B35" s="416"/>
      <c r="C35" s="195" t="s">
        <v>1198</v>
      </c>
      <c r="D35" s="196">
        <v>0.08</v>
      </c>
      <c r="E35" s="422" t="s">
        <v>1201</v>
      </c>
      <c r="F35" s="423"/>
    </row>
    <row r="36" spans="1:6" ht="14.65" customHeight="1">
      <c r="A36" s="411"/>
      <c r="B36" s="416"/>
      <c r="C36" s="195" t="s">
        <v>1191</v>
      </c>
      <c r="D36" s="196">
        <v>8.7499999999999994E-2</v>
      </c>
      <c r="E36" s="359" t="s">
        <v>1194</v>
      </c>
      <c r="F36" s="360"/>
    </row>
    <row r="37" spans="1:6" ht="14.65" customHeight="1">
      <c r="A37" s="396"/>
      <c r="B37" s="417"/>
      <c r="C37" s="195" t="s">
        <v>1192</v>
      </c>
      <c r="D37" s="196">
        <v>0.1075</v>
      </c>
      <c r="E37" s="359" t="s">
        <v>1194</v>
      </c>
      <c r="F37" s="360"/>
    </row>
    <row r="38" spans="1:6" ht="14.25" customHeight="1">
      <c r="A38" s="458" t="s">
        <v>1202</v>
      </c>
      <c r="B38" s="458"/>
      <c r="C38" s="458"/>
      <c r="D38" s="458"/>
      <c r="E38" s="458"/>
      <c r="F38" s="458"/>
    </row>
    <row r="39" spans="1:6" ht="14.65" customHeight="1">
      <c r="A39" s="395" t="s">
        <v>1211</v>
      </c>
      <c r="B39" s="415" t="s">
        <v>1212</v>
      </c>
      <c r="C39" s="195" t="s">
        <v>1197</v>
      </c>
      <c r="D39" s="196">
        <v>7.2499999999999995E-2</v>
      </c>
      <c r="E39" s="201">
        <v>8665</v>
      </c>
      <c r="F39" s="198">
        <v>0.121915</v>
      </c>
    </row>
    <row r="40" spans="1:6" ht="14.65" customHeight="1">
      <c r="A40" s="411"/>
      <c r="B40" s="416"/>
      <c r="C40" s="195" t="s">
        <v>1198</v>
      </c>
      <c r="D40" s="196">
        <v>0.08</v>
      </c>
      <c r="E40" s="201">
        <v>2350.1</v>
      </c>
      <c r="F40" s="198">
        <v>0.126997</v>
      </c>
    </row>
    <row r="41" spans="1:6" ht="14.65" customHeight="1">
      <c r="A41" s="411"/>
      <c r="B41" s="416"/>
      <c r="C41" s="195" t="s">
        <v>1191</v>
      </c>
      <c r="D41" s="196">
        <v>8.7499999999999994E-2</v>
      </c>
      <c r="E41" s="201">
        <v>11483.6</v>
      </c>
      <c r="F41" s="198">
        <v>0.131245</v>
      </c>
    </row>
    <row r="42" spans="1:6" ht="14.65" customHeight="1">
      <c r="A42" s="396"/>
      <c r="B42" s="417"/>
      <c r="C42" s="195" t="s">
        <v>1192</v>
      </c>
      <c r="D42" s="196">
        <v>0.1075</v>
      </c>
      <c r="E42" s="359" t="s">
        <v>1194</v>
      </c>
      <c r="F42" s="360"/>
    </row>
    <row r="43" spans="1:6" ht="44.25" customHeight="1">
      <c r="A43" s="421">
        <v>22498.7</v>
      </c>
      <c r="B43" s="421"/>
      <c r="C43" s="421"/>
      <c r="D43" s="421"/>
      <c r="E43" s="421"/>
      <c r="F43" s="421"/>
    </row>
    <row r="44" spans="1:6" ht="14.65" customHeight="1">
      <c r="A44" s="395" t="s">
        <v>1213</v>
      </c>
      <c r="B44" s="418" t="s">
        <v>1214</v>
      </c>
      <c r="C44" s="195" t="s">
        <v>1197</v>
      </c>
      <c r="D44" s="196">
        <v>7.2499999999999995E-2</v>
      </c>
      <c r="E44" s="201">
        <v>34081.9</v>
      </c>
      <c r="F44" s="198">
        <v>0.122209</v>
      </c>
    </row>
    <row r="45" spans="1:6" ht="14.65" customHeight="1">
      <c r="A45" s="411"/>
      <c r="B45" s="419"/>
      <c r="C45" s="195" t="s">
        <v>1198</v>
      </c>
      <c r="D45" s="196">
        <v>0.08</v>
      </c>
      <c r="E45" s="201">
        <v>26712.5</v>
      </c>
      <c r="F45" s="198">
        <v>0.12697800000000001</v>
      </c>
    </row>
    <row r="46" spans="1:6" ht="14.65" customHeight="1">
      <c r="A46" s="411"/>
      <c r="B46" s="419"/>
      <c r="C46" s="195" t="s">
        <v>1191</v>
      </c>
      <c r="D46" s="196">
        <v>8.7499999999999994E-2</v>
      </c>
      <c r="E46" s="195" t="s">
        <v>1201</v>
      </c>
      <c r="F46" s="202"/>
    </row>
    <row r="47" spans="1:6" ht="14.65" customHeight="1">
      <c r="A47" s="396"/>
      <c r="B47" s="420"/>
      <c r="C47" s="195" t="s">
        <v>1192</v>
      </c>
      <c r="D47" s="196">
        <v>0.1075</v>
      </c>
      <c r="E47" s="195" t="s">
        <v>1201</v>
      </c>
      <c r="F47" s="202"/>
    </row>
    <row r="48" spans="1:6" ht="29.65" customHeight="1">
      <c r="A48" s="421">
        <v>60794.400000000001</v>
      </c>
      <c r="B48" s="421"/>
      <c r="C48" s="421"/>
      <c r="D48" s="421"/>
      <c r="E48" s="421"/>
      <c r="F48" s="421"/>
    </row>
    <row r="49" spans="1:6" ht="14.65" customHeight="1">
      <c r="A49" s="395" t="s">
        <v>1215</v>
      </c>
      <c r="B49" s="418" t="s">
        <v>1216</v>
      </c>
      <c r="C49" s="195" t="s">
        <v>1197</v>
      </c>
      <c r="D49" s="196">
        <v>7.2499999999999995E-2</v>
      </c>
      <c r="E49" s="201">
        <v>115155.6</v>
      </c>
      <c r="F49" s="198">
        <v>0.120002</v>
      </c>
    </row>
    <row r="50" spans="1:6" ht="14.65" customHeight="1">
      <c r="A50" s="411"/>
      <c r="B50" s="419"/>
      <c r="C50" s="195" t="s">
        <v>1198</v>
      </c>
      <c r="D50" s="196">
        <v>0.08</v>
      </c>
      <c r="E50" s="201">
        <v>54193.7</v>
      </c>
      <c r="F50" s="198">
        <v>0.124461</v>
      </c>
    </row>
    <row r="51" spans="1:6" ht="14.65" customHeight="1">
      <c r="A51" s="411"/>
      <c r="B51" s="419"/>
      <c r="C51" s="195" t="s">
        <v>1191</v>
      </c>
      <c r="D51" s="196">
        <v>8.7499999999999994E-2</v>
      </c>
      <c r="E51" s="201">
        <v>63229.8</v>
      </c>
      <c r="F51" s="198">
        <v>0.12826699999999999</v>
      </c>
    </row>
    <row r="52" spans="1:6" ht="14.65" customHeight="1">
      <c r="A52" s="396"/>
      <c r="B52" s="420"/>
      <c r="C52" s="195" t="s">
        <v>1192</v>
      </c>
      <c r="D52" s="196">
        <v>0.1075</v>
      </c>
      <c r="E52" s="403" t="s">
        <v>1194</v>
      </c>
      <c r="F52" s="404"/>
    </row>
    <row r="53" spans="1:6" ht="14.65" customHeight="1">
      <c r="A53" s="421">
        <v>232579.1</v>
      </c>
      <c r="B53" s="421"/>
      <c r="C53" s="421"/>
      <c r="D53" s="421"/>
      <c r="E53" s="421"/>
      <c r="F53" s="421"/>
    </row>
    <row r="54" spans="1:6" ht="14.65" customHeight="1">
      <c r="A54" s="395" t="s">
        <v>1217</v>
      </c>
      <c r="B54" s="412" t="s">
        <v>1218</v>
      </c>
      <c r="C54" s="195" t="s">
        <v>1197</v>
      </c>
      <c r="D54" s="196">
        <v>7.2499999999999995E-2</v>
      </c>
      <c r="E54" s="201">
        <v>22419</v>
      </c>
      <c r="F54" s="198">
        <v>0.12198100000000001</v>
      </c>
    </row>
    <row r="55" spans="1:6" ht="14.65" customHeight="1">
      <c r="A55" s="411"/>
      <c r="B55" s="413"/>
      <c r="C55" s="195" t="s">
        <v>1198</v>
      </c>
      <c r="D55" s="196">
        <v>0.08</v>
      </c>
      <c r="E55" s="201">
        <v>24608.400000000001</v>
      </c>
      <c r="F55" s="198">
        <v>0.125392</v>
      </c>
    </row>
    <row r="56" spans="1:6" ht="14.65" customHeight="1">
      <c r="A56" s="411"/>
      <c r="B56" s="413"/>
      <c r="C56" s="195" t="s">
        <v>1191</v>
      </c>
      <c r="D56" s="196">
        <v>8.7499999999999994E-2</v>
      </c>
      <c r="E56" s="201">
        <v>57523.5</v>
      </c>
      <c r="F56" s="198">
        <v>0.12968099999999999</v>
      </c>
    </row>
    <row r="57" spans="1:6" ht="14.65" customHeight="1">
      <c r="A57" s="396"/>
      <c r="B57" s="414"/>
      <c r="C57" s="195" t="s">
        <v>1192</v>
      </c>
      <c r="D57" s="196">
        <v>0.1075</v>
      </c>
      <c r="E57" s="403" t="s">
        <v>1194</v>
      </c>
      <c r="F57" s="404"/>
    </row>
    <row r="58" spans="1:6" ht="14.65" customHeight="1">
      <c r="A58" s="421">
        <v>104550.9</v>
      </c>
      <c r="B58" s="421"/>
      <c r="C58" s="421"/>
      <c r="D58" s="421"/>
      <c r="E58" s="421"/>
      <c r="F58" s="421"/>
    </row>
    <row r="59" spans="1:6" ht="14.65" customHeight="1">
      <c r="A59" s="395" t="s">
        <v>1219</v>
      </c>
      <c r="B59" s="412" t="s">
        <v>1220</v>
      </c>
      <c r="C59" s="195" t="s">
        <v>1197</v>
      </c>
      <c r="D59" s="196">
        <v>7.2499999999999995E-2</v>
      </c>
      <c r="E59" s="201">
        <v>162664.1</v>
      </c>
      <c r="F59" s="198">
        <v>0.121419</v>
      </c>
    </row>
    <row r="60" spans="1:6" ht="14.65" customHeight="1">
      <c r="A60" s="411"/>
      <c r="B60" s="413"/>
      <c r="C60" s="195" t="s">
        <v>1198</v>
      </c>
      <c r="D60" s="196">
        <v>0.08</v>
      </c>
      <c r="E60" s="199" t="s">
        <v>1193</v>
      </c>
      <c r="F60" s="202"/>
    </row>
    <row r="61" spans="1:6" ht="14.65" customHeight="1">
      <c r="A61" s="411"/>
      <c r="B61" s="413"/>
      <c r="C61" s="195" t="s">
        <v>1191</v>
      </c>
      <c r="D61" s="196">
        <v>8.7499999999999994E-2</v>
      </c>
      <c r="E61" s="199" t="s">
        <v>1193</v>
      </c>
      <c r="F61" s="202"/>
    </row>
    <row r="62" spans="1:6" ht="14.65" customHeight="1">
      <c r="A62" s="396"/>
      <c r="B62" s="414"/>
      <c r="C62" s="195" t="s">
        <v>1192</v>
      </c>
      <c r="D62" s="196">
        <v>0.1075</v>
      </c>
      <c r="E62" s="403" t="s">
        <v>1194</v>
      </c>
      <c r="F62" s="404"/>
    </row>
    <row r="63" spans="1:6" ht="14.65" customHeight="1">
      <c r="A63" s="421">
        <v>162664.1</v>
      </c>
      <c r="B63" s="421"/>
      <c r="C63" s="421"/>
      <c r="D63" s="421"/>
      <c r="E63" s="421"/>
      <c r="F63" s="421"/>
    </row>
    <row r="64" spans="1:6" ht="14.65" customHeight="1">
      <c r="A64" s="395" t="s">
        <v>1221</v>
      </c>
      <c r="B64" s="412" t="s">
        <v>1222</v>
      </c>
      <c r="C64" s="195" t="s">
        <v>1197</v>
      </c>
      <c r="D64" s="196">
        <v>7.2499999999999995E-2</v>
      </c>
      <c r="E64" s="201">
        <v>67214.8</v>
      </c>
      <c r="F64" s="198">
        <v>0.13611699999999999</v>
      </c>
    </row>
    <row r="65" spans="1:6" ht="14.65" customHeight="1">
      <c r="A65" s="411"/>
      <c r="B65" s="413"/>
      <c r="C65" s="195" t="s">
        <v>1198</v>
      </c>
      <c r="D65" s="196">
        <v>0.08</v>
      </c>
      <c r="E65" s="201">
        <v>36183.1</v>
      </c>
      <c r="F65" s="198">
        <v>0.13714499999999999</v>
      </c>
    </row>
    <row r="66" spans="1:6" ht="14.65" customHeight="1">
      <c r="A66" s="411"/>
      <c r="B66" s="413"/>
      <c r="C66" s="195" t="s">
        <v>1191</v>
      </c>
      <c r="D66" s="196">
        <v>8.7499999999999994E-2</v>
      </c>
      <c r="E66" s="201">
        <v>29753.8</v>
      </c>
      <c r="F66" s="198">
        <v>0.13600000000000001</v>
      </c>
    </row>
    <row r="67" spans="1:6" ht="14.65" customHeight="1">
      <c r="A67" s="396"/>
      <c r="B67" s="414"/>
      <c r="C67" s="195" t="s">
        <v>1192</v>
      </c>
      <c r="D67" s="196">
        <v>0.1075</v>
      </c>
      <c r="E67" s="403" t="s">
        <v>1194</v>
      </c>
      <c r="F67" s="404"/>
    </row>
    <row r="68" spans="1:6" ht="14.65" customHeight="1">
      <c r="A68" s="421">
        <v>133151.70000000001</v>
      </c>
      <c r="B68" s="421"/>
      <c r="C68" s="421"/>
      <c r="D68" s="421"/>
      <c r="E68" s="421"/>
      <c r="F68" s="421"/>
    </row>
    <row r="69" spans="1:6" ht="14.65" customHeight="1">
      <c r="A69" s="395" t="s">
        <v>1223</v>
      </c>
      <c r="B69" s="412" t="s">
        <v>1224</v>
      </c>
      <c r="C69" s="195" t="s">
        <v>1197</v>
      </c>
      <c r="D69" s="196">
        <v>7.2499999999999995E-2</v>
      </c>
      <c r="E69" s="201">
        <v>8658.1</v>
      </c>
      <c r="F69" s="198">
        <v>0.13677</v>
      </c>
    </row>
    <row r="70" spans="1:6" ht="14.65" customHeight="1">
      <c r="A70" s="411"/>
      <c r="B70" s="413"/>
      <c r="C70" s="195" t="s">
        <v>1198</v>
      </c>
      <c r="D70" s="196">
        <v>0.08</v>
      </c>
      <c r="E70" s="201">
        <v>35046.300000000003</v>
      </c>
      <c r="F70" s="198">
        <v>0.137687</v>
      </c>
    </row>
    <row r="71" spans="1:6" ht="14.65" customHeight="1">
      <c r="A71" s="411"/>
      <c r="B71" s="413"/>
      <c r="C71" s="195" t="s">
        <v>1191</v>
      </c>
      <c r="D71" s="196">
        <v>8.7499999999999994E-2</v>
      </c>
      <c r="E71" s="201">
        <v>91204.2</v>
      </c>
      <c r="F71" s="198">
        <v>0.13682</v>
      </c>
    </row>
    <row r="72" spans="1:6" ht="14.65" customHeight="1">
      <c r="A72" s="396"/>
      <c r="B72" s="414"/>
      <c r="C72" s="195" t="s">
        <v>1192</v>
      </c>
      <c r="D72" s="196">
        <v>0.1075</v>
      </c>
      <c r="E72" s="403" t="s">
        <v>1194</v>
      </c>
      <c r="F72" s="404"/>
    </row>
    <row r="73" spans="1:6" ht="14.65" customHeight="1">
      <c r="A73" s="421">
        <v>134908.6</v>
      </c>
      <c r="B73" s="421"/>
      <c r="C73" s="421"/>
      <c r="D73" s="421"/>
      <c r="E73" s="421"/>
      <c r="F73" s="421"/>
    </row>
    <row r="74" spans="1:6" ht="14.65" customHeight="1">
      <c r="A74" s="395" t="s">
        <v>1225</v>
      </c>
      <c r="B74" s="412" t="s">
        <v>1226</v>
      </c>
      <c r="C74" s="195" t="s">
        <v>1197</v>
      </c>
      <c r="D74" s="196">
        <v>7.2499999999999995E-2</v>
      </c>
      <c r="E74" s="201">
        <v>124364.9</v>
      </c>
      <c r="F74" s="198">
        <v>0.140206</v>
      </c>
    </row>
    <row r="75" spans="1:6" ht="14.65" customHeight="1">
      <c r="A75" s="411"/>
      <c r="B75" s="413"/>
      <c r="C75" s="195" t="s">
        <v>1198</v>
      </c>
      <c r="D75" s="196">
        <v>0.08</v>
      </c>
      <c r="E75" s="201">
        <v>72091.8</v>
      </c>
      <c r="F75" s="198">
        <v>0.13774</v>
      </c>
    </row>
    <row r="76" spans="1:6" ht="14.65" customHeight="1">
      <c r="A76" s="411"/>
      <c r="B76" s="413"/>
      <c r="C76" s="326" t="s">
        <v>1191</v>
      </c>
      <c r="D76" s="203">
        <v>8.7499999999999994E-2</v>
      </c>
      <c r="E76" s="204">
        <v>28808.2</v>
      </c>
      <c r="F76" s="205">
        <v>0.134548</v>
      </c>
    </row>
    <row r="77" spans="1:6" ht="15.75" customHeight="1">
      <c r="A77" s="202"/>
      <c r="B77" s="202"/>
      <c r="C77" s="195" t="s">
        <v>1192</v>
      </c>
      <c r="D77" s="196">
        <v>0.1075</v>
      </c>
      <c r="E77" s="403" t="s">
        <v>1194</v>
      </c>
      <c r="F77" s="404"/>
    </row>
    <row r="78" spans="1:6" ht="29.65" customHeight="1">
      <c r="A78" s="421">
        <v>225264.9</v>
      </c>
      <c r="B78" s="421"/>
      <c r="C78" s="421"/>
      <c r="D78" s="421"/>
      <c r="E78" s="421"/>
      <c r="F78" s="421"/>
    </row>
    <row r="79" spans="1:6" ht="14.65" customHeight="1">
      <c r="A79" s="395" t="s">
        <v>1227</v>
      </c>
      <c r="B79" s="418" t="s">
        <v>1228</v>
      </c>
      <c r="C79" s="195" t="s">
        <v>1197</v>
      </c>
      <c r="D79" s="196">
        <v>7.2499999999999995E-2</v>
      </c>
      <c r="E79" s="201">
        <v>417927.6</v>
      </c>
      <c r="F79" s="198">
        <v>0.14151900000000001</v>
      </c>
    </row>
    <row r="80" spans="1:6" ht="14.65" customHeight="1">
      <c r="A80" s="411"/>
      <c r="B80" s="419"/>
      <c r="C80" s="195" t="s">
        <v>1198</v>
      </c>
      <c r="D80" s="196">
        <v>0.08</v>
      </c>
      <c r="E80" s="201">
        <v>65221.4</v>
      </c>
      <c r="F80" s="198">
        <v>0.13486000000000001</v>
      </c>
    </row>
    <row r="81" spans="1:10" ht="14.65" customHeight="1">
      <c r="A81" s="411"/>
      <c r="B81" s="419"/>
      <c r="C81" s="195" t="s">
        <v>1191</v>
      </c>
      <c r="D81" s="196">
        <v>8.7499999999999994E-2</v>
      </c>
      <c r="E81" s="201">
        <v>30543.9</v>
      </c>
      <c r="F81" s="198">
        <v>0.13101699999999999</v>
      </c>
    </row>
    <row r="82" spans="1:10" ht="14.65" customHeight="1">
      <c r="A82" s="396"/>
      <c r="B82" s="420"/>
      <c r="C82" s="195" t="s">
        <v>1192</v>
      </c>
      <c r="D82" s="196">
        <v>0.1075</v>
      </c>
      <c r="E82" s="195" t="s">
        <v>1201</v>
      </c>
      <c r="F82" s="202"/>
    </row>
    <row r="83" spans="1:10" ht="14.65" customHeight="1">
      <c r="A83" s="421">
        <v>513692.9</v>
      </c>
      <c r="B83" s="421"/>
      <c r="C83" s="421"/>
      <c r="D83" s="421"/>
      <c r="E83" s="421"/>
      <c r="F83" s="421"/>
    </row>
    <row r="84" spans="1:10" ht="14.65" customHeight="1">
      <c r="A84" s="395" t="s">
        <v>1229</v>
      </c>
      <c r="B84" s="415" t="s">
        <v>1230</v>
      </c>
      <c r="C84" s="195" t="s">
        <v>1197</v>
      </c>
      <c r="D84" s="196">
        <v>0.09</v>
      </c>
      <c r="E84" s="201">
        <v>89648.8</v>
      </c>
      <c r="F84" s="198">
        <v>0.12868299999999999</v>
      </c>
    </row>
    <row r="85" spans="1:10" ht="14.65" customHeight="1">
      <c r="A85" s="411"/>
      <c r="B85" s="416"/>
      <c r="C85" s="195" t="s">
        <v>1198</v>
      </c>
      <c r="D85" s="196">
        <v>9.5000000000000001E-2</v>
      </c>
      <c r="E85" s="201">
        <v>84437.7</v>
      </c>
      <c r="F85" s="198">
        <v>0.12376</v>
      </c>
    </row>
    <row r="86" spans="1:10" ht="14.65" customHeight="1">
      <c r="A86" s="411"/>
      <c r="B86" s="416"/>
      <c r="C86" s="195" t="s">
        <v>1191</v>
      </c>
      <c r="D86" s="196">
        <v>0.1</v>
      </c>
      <c r="E86" s="201">
        <v>50416.3</v>
      </c>
      <c r="F86" s="198">
        <v>0.12148200000000001</v>
      </c>
    </row>
    <row r="87" spans="1:10" ht="14.65" customHeight="1">
      <c r="A87" s="396"/>
      <c r="B87" s="417"/>
      <c r="C87" s="195" t="s">
        <v>1192</v>
      </c>
      <c r="D87" s="196">
        <v>0.11</v>
      </c>
      <c r="E87" s="195" t="s">
        <v>1201</v>
      </c>
      <c r="F87" s="202"/>
    </row>
    <row r="88" spans="1:10" ht="14.65" customHeight="1">
      <c r="A88" s="356"/>
      <c r="B88" s="356"/>
      <c r="C88" s="356"/>
      <c r="D88" s="356"/>
      <c r="E88" s="356"/>
      <c r="F88" s="356"/>
    </row>
    <row r="89" spans="1:10" ht="14.65" customHeight="1">
      <c r="A89" s="395" t="s">
        <v>1231</v>
      </c>
      <c r="B89" s="418" t="s">
        <v>1232</v>
      </c>
      <c r="C89" s="195" t="s">
        <v>1197</v>
      </c>
      <c r="D89" s="196">
        <v>0.09</v>
      </c>
      <c r="E89" s="201">
        <v>52513.1</v>
      </c>
      <c r="F89" s="198">
        <v>0.11713</v>
      </c>
    </row>
    <row r="90" spans="1:10" ht="14.65" customHeight="1">
      <c r="A90" s="411"/>
      <c r="B90" s="419"/>
      <c r="C90" s="195" t="s">
        <v>1198</v>
      </c>
      <c r="D90" s="196">
        <v>9.5000000000000001E-2</v>
      </c>
      <c r="E90" s="201">
        <v>37705</v>
      </c>
      <c r="F90" s="198">
        <v>0.115151</v>
      </c>
    </row>
    <row r="91" spans="1:10" ht="14.65" customHeight="1">
      <c r="A91" s="411"/>
      <c r="B91" s="419"/>
      <c r="C91" s="195" t="s">
        <v>1191</v>
      </c>
      <c r="D91" s="196">
        <v>0.1</v>
      </c>
      <c r="E91" s="201">
        <v>35802.199999999997</v>
      </c>
      <c r="F91" s="198">
        <v>0.112636</v>
      </c>
    </row>
    <row r="92" spans="1:10" ht="14.65" customHeight="1">
      <c r="A92" s="396"/>
      <c r="B92" s="420"/>
      <c r="C92" s="195" t="s">
        <v>1192</v>
      </c>
      <c r="D92" s="196">
        <v>0.11</v>
      </c>
      <c r="E92" s="195" t="s">
        <v>1201</v>
      </c>
      <c r="F92" s="202"/>
      <c r="H92" s="193">
        <v>2019</v>
      </c>
      <c r="I92" s="193" t="s">
        <v>1233</v>
      </c>
      <c r="J92" s="193" t="s">
        <v>1234</v>
      </c>
    </row>
    <row r="93" spans="1:10" ht="14.65" customHeight="1">
      <c r="A93" s="356"/>
      <c r="B93" s="356"/>
      <c r="C93" s="356"/>
      <c r="D93" s="356"/>
      <c r="E93" s="356"/>
      <c r="F93" s="356"/>
      <c r="H93" s="193" t="s">
        <v>1235</v>
      </c>
      <c r="I93" s="235" t="str" cm="1">
        <f t="array" ref="I93">IFERROR(
  AVERAGE(
    _xlfn._xlws.FILTER(
      $F$44:$F$102,
      ($C$44:$C$102 = $H93) * ($F$44:$F$102 &gt; 0)
    )
  ),
  "No matches"
)</f>
        <v>No matches</v>
      </c>
      <c r="J93" s="235" t="str" cm="1">
        <f t="array" ref="J93">IFERROR(
  AVERAGE(
    _xlfn._xlws.FILTER(
      $D$44:$D$102,
      ($C$44:$C$102 = $H93) * ($D$44:$D$102 &gt; 0)
    )
  ),
  "Zero"
)</f>
        <v>Zero</v>
      </c>
    </row>
    <row r="94" spans="1:10" ht="14.65" customHeight="1">
      <c r="A94" s="395" t="s">
        <v>1236</v>
      </c>
      <c r="B94" s="415" t="s">
        <v>1237</v>
      </c>
      <c r="C94" s="195" t="s">
        <v>1197</v>
      </c>
      <c r="D94" s="196">
        <v>0.09</v>
      </c>
      <c r="E94" s="201">
        <v>59166.9</v>
      </c>
      <c r="F94" s="198">
        <v>0.11763999999999999</v>
      </c>
      <c r="H94" s="193" t="s">
        <v>1238</v>
      </c>
      <c r="I94" s="235" cm="1">
        <f t="array" ref="I94">IFERROR(
  AVERAGE(
    _xlfn._xlws.FILTER(
      $F$104:$F$172,
      ($C$104:$C$172 = $H94) * ($F$104:$F$172 &gt; 0)
    )
  ),
  "No matches"
)</f>
        <v>8.9533833333333326E-2</v>
      </c>
      <c r="J94" s="235" cm="1">
        <f t="array" ref="J94">IFERROR(
  AVERAGE(
    _xlfn._xlws.FILTER(
      $D$44:$D$102,
      ($C$44:$C$102 = $H94) * ($D$44:$D$102 &gt; 0)
    )
  ),
  "Zero"
)</f>
        <v>7.8333333333333324E-2</v>
      </c>
    </row>
    <row r="95" spans="1:10" ht="14.65" customHeight="1">
      <c r="A95" s="411"/>
      <c r="B95" s="416"/>
      <c r="C95" s="195" t="s">
        <v>1198</v>
      </c>
      <c r="D95" s="196">
        <v>9.5000000000000001E-2</v>
      </c>
      <c r="E95" s="201">
        <v>52215</v>
      </c>
      <c r="F95" s="198">
        <v>0.113903</v>
      </c>
      <c r="H95" s="193" t="s">
        <v>1239</v>
      </c>
      <c r="I95" s="235" cm="1">
        <f t="array" ref="I95">IFERROR(
  AVERAGE(
    _xlfn._xlws.FILTER(
      $F$104:$F$172,
      ($C$104:$C$172 = $H95) * ($F$104:$F$172 &gt; 0)
    )
  ),
  "No matches"
)</f>
        <v>9.2676333333333333E-2</v>
      </c>
      <c r="J95" s="235" cm="1">
        <f t="array" ref="J95">IFERROR(
  AVERAGE(
    _xlfn._xlws.FILTER(
      $D$44:$D$102,
      ($C$44:$C$102 = $H95) * ($D$44:$D$102 &gt; 0)
    )
  ),
  "Zero"
)</f>
        <v>8.5000000000000006E-2</v>
      </c>
    </row>
    <row r="96" spans="1:10" ht="14.65" customHeight="1">
      <c r="A96" s="411"/>
      <c r="B96" s="416"/>
      <c r="C96" s="195" t="s">
        <v>1191</v>
      </c>
      <c r="D96" s="196">
        <v>0.1</v>
      </c>
      <c r="E96" s="201">
        <v>22554.5</v>
      </c>
      <c r="F96" s="198">
        <v>0.1128</v>
      </c>
      <c r="H96" s="193" t="s">
        <v>1240</v>
      </c>
      <c r="I96" s="235" cm="1">
        <f t="array" ref="I96">IFERROR(
  AVERAGE(
    _xlfn._xlws.FILTER(
      $F$104:$F$172,
      ($C$104:$C$172 = $H96) * ($F$104:$F$172 &gt; 0)
    )
  ),
  "No matches"
)</f>
        <v>9.5228999999999994E-2</v>
      </c>
      <c r="J96" s="235" cm="1">
        <f t="array" ref="J96">IFERROR(
  AVERAGE(
    _xlfn._xlws.FILTER(
      $D$44:$D$102,
      ($C$44:$C$102 = $H96) * ($D$44:$D$102 &gt; 0)
    )
  ),
  "Zero"
)</f>
        <v>9.1666666666666674E-2</v>
      </c>
    </row>
    <row r="97" spans="1:10" ht="14.65" customHeight="1">
      <c r="A97" s="396"/>
      <c r="B97" s="417"/>
      <c r="C97" s="195" t="s">
        <v>1192</v>
      </c>
      <c r="D97" s="196">
        <v>0.11</v>
      </c>
      <c r="E97" s="195" t="s">
        <v>1241</v>
      </c>
      <c r="F97" s="202"/>
      <c r="H97" s="193" t="s">
        <v>1242</v>
      </c>
      <c r="I97" s="235" cm="1">
        <f t="array" ref="I97">IFERROR(
  AVERAGE(
    _xlfn._xlws.FILTER(
      $F$104:$F$172,
      ($C$104:$C$172 = $H97) * ($F$104:$F$172 &gt; 0)
    )
  ),
  "No matches"
)</f>
        <v>9.9462499999999995E-2</v>
      </c>
      <c r="J97" s="235" t="str" cm="1">
        <f t="array" ref="J97">IFERROR(
  AVERAGE(
    _xlfn._xlws.FILTER(
      $D$44:$D$102,
      ($C$44:$C$102 = $H97) * ($D$44:$D$102 &gt; 0)
    )
  ),
  "No matches"
)</f>
        <v>No matches</v>
      </c>
    </row>
    <row r="98" spans="1:10" ht="14.65" customHeight="1">
      <c r="A98" s="356"/>
      <c r="B98" s="356"/>
      <c r="C98" s="356"/>
      <c r="D98" s="356"/>
      <c r="E98" s="356"/>
      <c r="F98" s="356"/>
      <c r="H98" s="193" t="s">
        <v>1243</v>
      </c>
      <c r="I98" s="235" cm="1">
        <f t="array" ref="I98">IFERROR(
  AVERAGE(
    _xlfn._xlws.FILTER(
      $F$104:$F$172,
      ($C$104:$C$172 = $H98) * ($F$104:$F$172 &gt; 0)
    )
  ),
  "No matches"
)</f>
        <v>0.10662166666666667</v>
      </c>
      <c r="J98" s="235" cm="1">
        <f t="array" ref="J98">IFERROR(
  AVERAGE(
    _xlfn._xlws.FILTER(
      $D$44:$D$102,
      ($C$44:$C$102 = $H98) * ($D$44:$D$102 &gt; 0)
    )
  ),
  "Zero"
)</f>
        <v>0.10833333333333335</v>
      </c>
    </row>
    <row r="99" spans="1:10" ht="14.65" customHeight="1">
      <c r="A99" s="395" t="s">
        <v>1244</v>
      </c>
      <c r="B99" s="415" t="s">
        <v>1245</v>
      </c>
      <c r="C99" s="195" t="s">
        <v>1197</v>
      </c>
      <c r="D99" s="196">
        <v>0.09</v>
      </c>
      <c r="E99" s="201">
        <v>58637.2</v>
      </c>
      <c r="F99" s="198">
        <v>0.116954</v>
      </c>
      <c r="H99" s="459" t="s">
        <v>1246</v>
      </c>
      <c r="I99" s="235" t="str" cm="1">
        <f t="array" ref="I99">IFERROR(
  AVERAGE(
    _xlfn._xlws.FILTER(
      $F$104:$F$172,
      ($C$104:$C$172 = $H99) * ($F$104:$F$172 &gt; 0)
    )
  ),
  "No matches"
)</f>
        <v>No matches</v>
      </c>
      <c r="J99" s="235" t="str" cm="1">
        <f t="array" ref="J99">IFERROR(
  AVERAGE(
    _xlfn._xlws.FILTER(
      $D$44:$D$102,
      ($C$44:$C$102 = $H99) * ($D$44:$D$102 &gt; 0)
    )
  ),
  "No matches"
)</f>
        <v>No matches</v>
      </c>
    </row>
    <row r="100" spans="1:10" ht="14.65" customHeight="1">
      <c r="A100" s="411"/>
      <c r="B100" s="416"/>
      <c r="C100" s="195" t="s">
        <v>1198</v>
      </c>
      <c r="D100" s="196">
        <v>9.5000000000000001E-2</v>
      </c>
      <c r="E100" s="201">
        <v>56046</v>
      </c>
      <c r="F100" s="198">
        <v>0.111511</v>
      </c>
      <c r="I100" s="234">
        <f>AVERAGE(I93:I99)</f>
        <v>9.6704666666666675E-2</v>
      </c>
      <c r="J100" s="234">
        <f>AVERAGE(J93:J99)</f>
        <v>9.0833333333333335E-2</v>
      </c>
    </row>
    <row r="101" spans="1:10" ht="14.65" customHeight="1">
      <c r="A101" s="411"/>
      <c r="B101" s="416"/>
      <c r="C101" s="195" t="s">
        <v>1191</v>
      </c>
      <c r="D101" s="196">
        <v>0.1</v>
      </c>
      <c r="E101" s="201">
        <v>36760</v>
      </c>
      <c r="F101" s="198">
        <v>0.10945299999999999</v>
      </c>
    </row>
    <row r="102" spans="1:10" ht="14.65" customHeight="1">
      <c r="A102" s="396"/>
      <c r="B102" s="417"/>
      <c r="C102" s="195" t="s">
        <v>1192</v>
      </c>
      <c r="D102" s="196">
        <v>0.11</v>
      </c>
      <c r="E102" s="195" t="s">
        <v>1241</v>
      </c>
      <c r="F102" s="202"/>
    </row>
    <row r="103" spans="1:10" ht="14.65" customHeight="1">
      <c r="A103" s="202"/>
      <c r="B103" s="202"/>
      <c r="C103" s="202"/>
      <c r="D103" s="202"/>
      <c r="E103" s="202"/>
      <c r="F103" s="202"/>
    </row>
    <row r="104" spans="1:10" ht="14.65" customHeight="1">
      <c r="A104" s="395" t="s">
        <v>1247</v>
      </c>
      <c r="B104" s="412" t="s">
        <v>1248</v>
      </c>
      <c r="C104" s="195" t="s">
        <v>1197</v>
      </c>
      <c r="D104" s="196">
        <v>0.09</v>
      </c>
      <c r="E104" s="201">
        <v>28061.599999999999</v>
      </c>
      <c r="F104" s="198">
        <v>0.117226</v>
      </c>
    </row>
    <row r="105" spans="1:10" ht="14.65" customHeight="1">
      <c r="A105" s="411"/>
      <c r="B105" s="413"/>
      <c r="C105" s="195" t="s">
        <v>1198</v>
      </c>
      <c r="D105" s="196">
        <v>9.5000000000000001E-2</v>
      </c>
      <c r="E105" s="201">
        <v>55470</v>
      </c>
      <c r="F105" s="198">
        <v>0.110899</v>
      </c>
    </row>
    <row r="106" spans="1:10" ht="14.65" customHeight="1">
      <c r="A106" s="411"/>
      <c r="B106" s="413"/>
      <c r="C106" s="195" t="s">
        <v>1191</v>
      </c>
      <c r="D106" s="196">
        <v>0.1</v>
      </c>
      <c r="E106" s="201">
        <v>20346</v>
      </c>
      <c r="F106" s="198">
        <v>0.10882500000000001</v>
      </c>
    </row>
    <row r="107" spans="1:10" ht="14.65" customHeight="1">
      <c r="A107" s="396"/>
      <c r="B107" s="414"/>
      <c r="C107" s="195" t="s">
        <v>1192</v>
      </c>
      <c r="D107" s="196">
        <v>0.11</v>
      </c>
      <c r="E107" s="195" t="s">
        <v>1241</v>
      </c>
      <c r="F107" s="202"/>
    </row>
    <row r="108" spans="1:10" ht="14.65" customHeight="1">
      <c r="A108" s="202"/>
      <c r="B108" s="202"/>
      <c r="C108" s="202"/>
      <c r="D108" s="202"/>
      <c r="E108" s="202"/>
      <c r="F108" s="202"/>
    </row>
    <row r="109" spans="1:10" ht="14.65" customHeight="1">
      <c r="A109" s="395" t="s">
        <v>1249</v>
      </c>
      <c r="B109" s="418" t="s">
        <v>1250</v>
      </c>
      <c r="C109" s="195" t="s">
        <v>1197</v>
      </c>
      <c r="D109" s="196">
        <v>0.09</v>
      </c>
      <c r="E109" s="201">
        <v>20024.2</v>
      </c>
      <c r="F109" s="198">
        <v>0.11958199999999999</v>
      </c>
    </row>
    <row r="110" spans="1:10" ht="14.65" customHeight="1">
      <c r="A110" s="411"/>
      <c r="B110" s="419"/>
      <c r="C110" s="195" t="s">
        <v>1198</v>
      </c>
      <c r="D110" s="196">
        <v>9.5000000000000001E-2</v>
      </c>
      <c r="E110" s="201">
        <v>30256.5</v>
      </c>
      <c r="F110" s="198">
        <v>0.113371</v>
      </c>
    </row>
    <row r="111" spans="1:10" ht="14.65" customHeight="1">
      <c r="A111" s="411"/>
      <c r="B111" s="419"/>
      <c r="C111" s="195" t="s">
        <v>1191</v>
      </c>
      <c r="D111" s="196">
        <v>0.1</v>
      </c>
      <c r="E111" s="201">
        <v>10370</v>
      </c>
      <c r="F111" s="198">
        <v>0.1096</v>
      </c>
    </row>
    <row r="112" spans="1:10" ht="14.65" customHeight="1">
      <c r="A112" s="396"/>
      <c r="B112" s="420"/>
      <c r="C112" s="195" t="s">
        <v>1192</v>
      </c>
      <c r="D112" s="196">
        <v>0.11</v>
      </c>
      <c r="E112" s="195" t="s">
        <v>1201</v>
      </c>
      <c r="F112" s="202"/>
    </row>
    <row r="113" spans="1:6" ht="14.65" customHeight="1">
      <c r="A113" s="202"/>
      <c r="B113" s="202"/>
      <c r="C113" s="202"/>
      <c r="D113" s="202"/>
      <c r="E113" s="202"/>
      <c r="F113" s="202"/>
    </row>
    <row r="114" spans="1:6" ht="14.65" customHeight="1">
      <c r="A114" s="206"/>
      <c r="B114" s="206"/>
      <c r="C114" s="326" t="s">
        <v>1197</v>
      </c>
      <c r="D114" s="203">
        <v>0.09</v>
      </c>
      <c r="E114" s="204">
        <v>49714.5</v>
      </c>
      <c r="F114" s="205">
        <v>0.115351</v>
      </c>
    </row>
    <row r="115" spans="1:6" ht="14.65" customHeight="1">
      <c r="A115" s="382" t="s">
        <v>1189</v>
      </c>
      <c r="B115" s="382"/>
      <c r="C115" s="382"/>
      <c r="D115" s="382"/>
      <c r="E115" s="382"/>
      <c r="F115" s="382"/>
    </row>
    <row r="116" spans="1:6" ht="15.75" customHeight="1">
      <c r="A116" s="395" t="s">
        <v>1251</v>
      </c>
      <c r="B116" s="412" t="s">
        <v>1252</v>
      </c>
      <c r="C116" s="195" t="s">
        <v>1198</v>
      </c>
      <c r="D116" s="196">
        <v>9.5000000000000001E-2</v>
      </c>
      <c r="E116" s="201">
        <v>41455.5</v>
      </c>
      <c r="F116" s="198">
        <v>0.10935</v>
      </c>
    </row>
    <row r="117" spans="1:6" ht="14.65" customHeight="1">
      <c r="A117" s="411"/>
      <c r="B117" s="413"/>
      <c r="C117" s="195" t="s">
        <v>1191</v>
      </c>
      <c r="D117" s="196">
        <v>0.1</v>
      </c>
      <c r="E117" s="201">
        <v>39581.5</v>
      </c>
      <c r="F117" s="198">
        <v>0.107519</v>
      </c>
    </row>
    <row r="118" spans="1:6" ht="14.65" customHeight="1">
      <c r="A118" s="396"/>
      <c r="B118" s="414"/>
      <c r="C118" s="195" t="s">
        <v>1192</v>
      </c>
      <c r="D118" s="196">
        <v>0.11</v>
      </c>
      <c r="E118" s="201">
        <v>1000</v>
      </c>
      <c r="F118" s="198">
        <v>0.11799900000000001</v>
      </c>
    </row>
    <row r="119" spans="1:6" ht="14.65" customHeight="1">
      <c r="A119" s="202"/>
      <c r="B119" s="202"/>
      <c r="C119" s="202"/>
      <c r="D119" s="202"/>
      <c r="E119" s="202"/>
      <c r="F119" s="202"/>
    </row>
    <row r="120" spans="1:6" ht="14.65" customHeight="1">
      <c r="A120" s="400" t="s">
        <v>1253</v>
      </c>
      <c r="B120" s="374" t="s">
        <v>1254</v>
      </c>
      <c r="C120" s="195" t="s">
        <v>1197</v>
      </c>
      <c r="D120" s="196">
        <v>0.09</v>
      </c>
      <c r="E120" s="201">
        <v>46717.3</v>
      </c>
      <c r="F120" s="198">
        <v>8.5315000000000002E-2</v>
      </c>
    </row>
    <row r="121" spans="1:6" ht="14.65" customHeight="1">
      <c r="A121" s="401"/>
      <c r="B121" s="375"/>
      <c r="C121" s="195" t="s">
        <v>1198</v>
      </c>
      <c r="D121" s="196">
        <v>9.5000000000000001E-2</v>
      </c>
      <c r="E121" s="201">
        <v>36442.199999999997</v>
      </c>
      <c r="F121" s="198">
        <v>8.7084999999999996E-2</v>
      </c>
    </row>
    <row r="122" spans="1:6" ht="14.65" customHeight="1">
      <c r="A122" s="401"/>
      <c r="B122" s="375"/>
      <c r="C122" s="195" t="s">
        <v>1191</v>
      </c>
      <c r="D122" s="196">
        <v>0.1</v>
      </c>
      <c r="E122" s="201">
        <v>14329.2</v>
      </c>
      <c r="F122" s="198">
        <v>8.9724999999999999E-2</v>
      </c>
    </row>
    <row r="123" spans="1:6" ht="14.65" customHeight="1">
      <c r="A123" s="401"/>
      <c r="B123" s="375"/>
      <c r="C123" s="195" t="s">
        <v>1255</v>
      </c>
      <c r="D123" s="196">
        <v>0.105</v>
      </c>
      <c r="E123" s="201">
        <v>10275</v>
      </c>
      <c r="F123" s="198">
        <v>0.10453999999999999</v>
      </c>
    </row>
    <row r="124" spans="1:6" ht="14.65" customHeight="1">
      <c r="A124" s="402"/>
      <c r="B124" s="376"/>
      <c r="C124" s="195" t="s">
        <v>1192</v>
      </c>
      <c r="D124" s="196">
        <v>0.11</v>
      </c>
      <c r="E124" s="201">
        <v>5012.8</v>
      </c>
      <c r="F124" s="198">
        <v>0.107</v>
      </c>
    </row>
    <row r="125" spans="1:6" ht="14.65" customHeight="1">
      <c r="A125" s="202"/>
      <c r="B125" s="202"/>
      <c r="C125" s="202"/>
      <c r="D125" s="202"/>
      <c r="E125" s="202"/>
      <c r="F125" s="202"/>
    </row>
    <row r="126" spans="1:6" ht="14.65" customHeight="1">
      <c r="A126" s="400" t="s">
        <v>1256</v>
      </c>
      <c r="B126" s="374" t="s">
        <v>1257</v>
      </c>
      <c r="C126" s="195" t="s">
        <v>1197</v>
      </c>
      <c r="D126" s="196">
        <v>0.09</v>
      </c>
      <c r="E126" s="201">
        <v>82690.899999999994</v>
      </c>
      <c r="F126" s="198">
        <v>7.5239E-2</v>
      </c>
    </row>
    <row r="127" spans="1:6" ht="14.65" customHeight="1">
      <c r="A127" s="401"/>
      <c r="B127" s="375"/>
      <c r="C127" s="195" t="s">
        <v>1198</v>
      </c>
      <c r="D127" s="196">
        <v>9.5000000000000001E-2</v>
      </c>
      <c r="E127" s="201">
        <v>59546.5</v>
      </c>
      <c r="F127" s="198">
        <v>7.8740000000000004E-2</v>
      </c>
    </row>
    <row r="128" spans="1:6" ht="14.65" customHeight="1">
      <c r="A128" s="401"/>
      <c r="B128" s="375"/>
      <c r="C128" s="195" t="s">
        <v>1191</v>
      </c>
      <c r="D128" s="196">
        <v>0.1</v>
      </c>
      <c r="E128" s="201">
        <v>27087.5</v>
      </c>
      <c r="F128" s="198">
        <v>8.4766999999999995E-2</v>
      </c>
    </row>
    <row r="129" spans="1:6" ht="14.65" customHeight="1">
      <c r="A129" s="401"/>
      <c r="B129" s="375"/>
      <c r="C129" s="195" t="s">
        <v>1255</v>
      </c>
      <c r="D129" s="196">
        <v>0.105</v>
      </c>
      <c r="E129" s="201">
        <v>2525</v>
      </c>
      <c r="F129" s="198">
        <v>9.6640000000000004E-2</v>
      </c>
    </row>
    <row r="130" spans="1:6" ht="14.65" customHeight="1">
      <c r="A130" s="402"/>
      <c r="B130" s="376"/>
      <c r="C130" s="195" t="s">
        <v>1192</v>
      </c>
      <c r="D130" s="196">
        <v>0.11</v>
      </c>
      <c r="E130" s="195" t="s">
        <v>1201</v>
      </c>
      <c r="F130" s="202"/>
    </row>
    <row r="131" spans="1:6" ht="14.65" customHeight="1">
      <c r="A131" s="202"/>
      <c r="B131" s="202"/>
      <c r="C131" s="202"/>
      <c r="D131" s="202"/>
      <c r="E131" s="202"/>
      <c r="F131" s="202"/>
    </row>
    <row r="132" spans="1:6" ht="14.65" customHeight="1">
      <c r="A132" s="400" t="s">
        <v>1258</v>
      </c>
      <c r="B132" s="374" t="s">
        <v>1259</v>
      </c>
      <c r="C132" s="195" t="s">
        <v>1197</v>
      </c>
      <c r="D132" s="196">
        <v>0.09</v>
      </c>
      <c r="E132" s="201">
        <v>72685</v>
      </c>
      <c r="F132" s="198">
        <v>7.8223000000000001E-2</v>
      </c>
    </row>
    <row r="133" spans="1:6" ht="14.65" customHeight="1">
      <c r="A133" s="401"/>
      <c r="B133" s="375"/>
      <c r="C133" s="195" t="s">
        <v>1198</v>
      </c>
      <c r="D133" s="196">
        <v>9.5000000000000001E-2</v>
      </c>
      <c r="E133" s="201">
        <v>21961.7</v>
      </c>
      <c r="F133" s="198">
        <v>8.3542000000000005E-2</v>
      </c>
    </row>
    <row r="134" spans="1:6" ht="14.65" customHeight="1">
      <c r="A134" s="401"/>
      <c r="B134" s="375"/>
      <c r="C134" s="195" t="s">
        <v>1191</v>
      </c>
      <c r="D134" s="196">
        <v>0.1</v>
      </c>
      <c r="E134" s="201">
        <v>16197.5</v>
      </c>
      <c r="F134" s="198">
        <v>8.8709999999999997E-2</v>
      </c>
    </row>
    <row r="135" spans="1:6" ht="14.65" customHeight="1">
      <c r="A135" s="401"/>
      <c r="B135" s="375"/>
      <c r="C135" s="195" t="s">
        <v>1255</v>
      </c>
      <c r="D135" s="196">
        <v>0.105</v>
      </c>
      <c r="E135" s="201">
        <v>4000</v>
      </c>
      <c r="F135" s="198">
        <v>9.8674999999999999E-2</v>
      </c>
    </row>
    <row r="136" spans="1:6" ht="14.65" customHeight="1">
      <c r="A136" s="402"/>
      <c r="B136" s="376"/>
      <c r="C136" s="195" t="s">
        <v>1192</v>
      </c>
      <c r="D136" s="196">
        <v>0.11</v>
      </c>
      <c r="E136" s="197">
        <v>100</v>
      </c>
      <c r="F136" s="198">
        <v>0.1051</v>
      </c>
    </row>
    <row r="137" spans="1:6" ht="14.65" customHeight="1">
      <c r="A137" s="202"/>
      <c r="B137" s="202"/>
      <c r="C137" s="202"/>
      <c r="D137" s="202"/>
      <c r="E137" s="202"/>
      <c r="F137" s="202"/>
    </row>
    <row r="138" spans="1:6" ht="14.65" customHeight="1">
      <c r="A138" s="400" t="s">
        <v>1260</v>
      </c>
      <c r="B138" s="374" t="s">
        <v>1261</v>
      </c>
      <c r="C138" s="195" t="s">
        <v>1197</v>
      </c>
      <c r="D138" s="196">
        <v>0.09</v>
      </c>
      <c r="E138" s="201">
        <v>98188</v>
      </c>
      <c r="F138" s="198">
        <v>7.2359000000000007E-2</v>
      </c>
    </row>
    <row r="139" spans="1:6" ht="14.65" customHeight="1">
      <c r="A139" s="401"/>
      <c r="B139" s="375"/>
      <c r="C139" s="195" t="s">
        <v>1198</v>
      </c>
      <c r="D139" s="196">
        <v>9.5000000000000001E-2</v>
      </c>
      <c r="E139" s="201">
        <v>57741</v>
      </c>
      <c r="F139" s="198">
        <v>8.2139000000000004E-2</v>
      </c>
    </row>
    <row r="140" spans="1:6" ht="14.65" customHeight="1">
      <c r="A140" s="401"/>
      <c r="B140" s="375"/>
      <c r="C140" s="195" t="s">
        <v>1191</v>
      </c>
      <c r="D140" s="196">
        <v>0.1</v>
      </c>
      <c r="E140" s="201">
        <v>29943</v>
      </c>
      <c r="F140" s="198">
        <v>8.8569999999999996E-2</v>
      </c>
    </row>
    <row r="141" spans="1:6" ht="14.65" customHeight="1">
      <c r="A141" s="401"/>
      <c r="B141" s="375"/>
      <c r="C141" s="195" t="s">
        <v>1255</v>
      </c>
      <c r="D141" s="196">
        <v>0.105</v>
      </c>
      <c r="E141" s="201">
        <v>10000</v>
      </c>
      <c r="F141" s="198">
        <v>9.7019999999999995E-2</v>
      </c>
    </row>
    <row r="142" spans="1:6" ht="14.65" customHeight="1">
      <c r="A142" s="402"/>
      <c r="B142" s="376"/>
      <c r="C142" s="195" t="s">
        <v>1192</v>
      </c>
      <c r="D142" s="196">
        <v>0.11</v>
      </c>
      <c r="E142" s="201">
        <v>5000</v>
      </c>
      <c r="F142" s="198">
        <v>0.10340000000000001</v>
      </c>
    </row>
    <row r="143" spans="1:6" ht="14.65" customHeight="1">
      <c r="A143" s="202"/>
      <c r="B143" s="202"/>
      <c r="C143" s="202"/>
      <c r="D143" s="202"/>
      <c r="E143" s="202"/>
      <c r="F143" s="202"/>
    </row>
    <row r="144" spans="1:6" ht="14.65" customHeight="1">
      <c r="A144" s="400" t="s">
        <v>1262</v>
      </c>
      <c r="B144" s="379" t="s">
        <v>1263</v>
      </c>
      <c r="C144" s="195" t="s">
        <v>1197</v>
      </c>
      <c r="D144" s="196">
        <v>7.0000000000000007E-2</v>
      </c>
      <c r="E144" s="201">
        <v>22461.599999999999</v>
      </c>
      <c r="F144" s="198">
        <v>8.1910999999999998E-2</v>
      </c>
    </row>
    <row r="145" spans="1:6" ht="14.65" customHeight="1">
      <c r="A145" s="401"/>
      <c r="B145" s="380"/>
      <c r="C145" s="195" t="s">
        <v>1198</v>
      </c>
      <c r="D145" s="196">
        <v>9.5000000000000001E-2</v>
      </c>
      <c r="E145" s="197">
        <v>334</v>
      </c>
      <c r="F145" s="198">
        <v>8.4473000000000006E-2</v>
      </c>
    </row>
    <row r="146" spans="1:6" ht="14.65" customHeight="1">
      <c r="A146" s="401"/>
      <c r="B146" s="380"/>
      <c r="C146" s="195" t="s">
        <v>1191</v>
      </c>
      <c r="D146" s="196">
        <v>0.1</v>
      </c>
      <c r="E146" s="197">
        <v>55</v>
      </c>
      <c r="F146" s="198">
        <v>8.9444999999999997E-2</v>
      </c>
    </row>
    <row r="147" spans="1:6" ht="14.65" customHeight="1">
      <c r="A147" s="401"/>
      <c r="B147" s="380"/>
      <c r="C147" s="195" t="s">
        <v>1255</v>
      </c>
      <c r="D147" s="196">
        <v>0.105</v>
      </c>
      <c r="E147" s="201">
        <v>12000</v>
      </c>
      <c r="F147" s="198">
        <v>9.9125000000000005E-2</v>
      </c>
    </row>
    <row r="148" spans="1:6" ht="14.65" customHeight="1">
      <c r="A148" s="402"/>
      <c r="B148" s="381"/>
      <c r="C148" s="195" t="s">
        <v>1192</v>
      </c>
      <c r="D148" s="196">
        <v>0.11</v>
      </c>
      <c r="E148" s="201">
        <v>10000</v>
      </c>
      <c r="F148" s="198">
        <v>0.10427</v>
      </c>
    </row>
    <row r="149" spans="1:6" ht="14.65" customHeight="1">
      <c r="A149" s="202"/>
      <c r="B149" s="202"/>
      <c r="C149" s="202"/>
      <c r="D149" s="202"/>
      <c r="E149" s="202"/>
      <c r="F149" s="202"/>
    </row>
    <row r="150" spans="1:6" ht="14.65" customHeight="1">
      <c r="A150" s="400" t="s">
        <v>1264</v>
      </c>
      <c r="B150" s="383" t="s">
        <v>1265</v>
      </c>
      <c r="C150" s="195" t="s">
        <v>1197</v>
      </c>
      <c r="D150" s="196">
        <v>7.0000000000000007E-2</v>
      </c>
      <c r="E150" s="201">
        <v>2330</v>
      </c>
      <c r="F150" s="198">
        <v>8.2000000000000003E-2</v>
      </c>
    </row>
    <row r="151" spans="1:6" ht="14.65" customHeight="1">
      <c r="A151" s="401"/>
      <c r="B151" s="384"/>
      <c r="C151" s="195" t="s">
        <v>1198</v>
      </c>
      <c r="D151" s="196">
        <v>9.5000000000000001E-2</v>
      </c>
      <c r="E151" s="197">
        <v>112.5</v>
      </c>
      <c r="F151" s="198">
        <v>8.4487999999999994E-2</v>
      </c>
    </row>
    <row r="152" spans="1:6" ht="14.65" customHeight="1">
      <c r="A152" s="401"/>
      <c r="B152" s="384"/>
      <c r="C152" s="195" t="s">
        <v>1191</v>
      </c>
      <c r="D152" s="196">
        <v>0.1</v>
      </c>
      <c r="E152" s="197">
        <v>2</v>
      </c>
      <c r="F152" s="198">
        <v>8.9899999999999994E-2</v>
      </c>
    </row>
    <row r="153" spans="1:6" ht="14.65" customHeight="1">
      <c r="A153" s="401"/>
      <c r="B153" s="384"/>
      <c r="C153" s="195" t="s">
        <v>1255</v>
      </c>
      <c r="D153" s="196">
        <v>0.105</v>
      </c>
      <c r="E153" s="195" t="s">
        <v>1201</v>
      </c>
      <c r="F153" s="202"/>
    </row>
    <row r="154" spans="1:6" ht="14.65" customHeight="1">
      <c r="A154" s="401"/>
      <c r="B154" s="384"/>
      <c r="C154" s="326" t="s">
        <v>1192</v>
      </c>
      <c r="D154" s="203">
        <v>0.11</v>
      </c>
      <c r="E154" s="204">
        <v>1000</v>
      </c>
      <c r="F154" s="205">
        <v>0.10549799999999999</v>
      </c>
    </row>
    <row r="155" spans="1:6" ht="14.65" customHeight="1">
      <c r="A155" s="202"/>
      <c r="B155" s="202"/>
      <c r="C155" s="202"/>
      <c r="D155" s="202"/>
      <c r="E155" s="202"/>
      <c r="F155" s="202"/>
    </row>
    <row r="156" spans="1:6" ht="14.65" customHeight="1">
      <c r="A156" s="408" t="s">
        <v>1266</v>
      </c>
      <c r="B156" s="379" t="s">
        <v>1267</v>
      </c>
      <c r="C156" s="195" t="s">
        <v>1197</v>
      </c>
      <c r="D156" s="196">
        <v>7.0000000000000007E-2</v>
      </c>
      <c r="E156" s="197">
        <v>50</v>
      </c>
      <c r="F156" s="198">
        <v>8.2400000000000001E-2</v>
      </c>
    </row>
    <row r="157" spans="1:6" ht="14.65" customHeight="1">
      <c r="A157" s="409"/>
      <c r="B157" s="380"/>
      <c r="C157" s="195" t="s">
        <v>1198</v>
      </c>
      <c r="D157" s="196">
        <v>7.4999999999999997E-2</v>
      </c>
      <c r="E157" s="195" t="s">
        <v>1201</v>
      </c>
      <c r="F157" s="202"/>
    </row>
    <row r="158" spans="1:6" ht="14.65" customHeight="1">
      <c r="A158" s="409"/>
      <c r="B158" s="380"/>
      <c r="C158" s="195" t="s">
        <v>1191</v>
      </c>
      <c r="D158" s="196">
        <v>0.1</v>
      </c>
      <c r="E158" s="195" t="s">
        <v>1201</v>
      </c>
      <c r="F158" s="202"/>
    </row>
    <row r="159" spans="1:6" ht="14.65" customHeight="1">
      <c r="A159" s="409"/>
      <c r="B159" s="380"/>
      <c r="C159" s="195" t="s">
        <v>1255</v>
      </c>
      <c r="D159" s="196">
        <v>0.105</v>
      </c>
      <c r="E159" s="201">
        <v>8000</v>
      </c>
      <c r="F159" s="198">
        <v>9.9900000000000003E-2</v>
      </c>
    </row>
    <row r="160" spans="1:6" ht="14.65" customHeight="1">
      <c r="A160" s="410"/>
      <c r="B160" s="381"/>
      <c r="C160" s="195" t="s">
        <v>1192</v>
      </c>
      <c r="D160" s="196">
        <v>0.11</v>
      </c>
      <c r="E160" s="201">
        <v>5000</v>
      </c>
      <c r="F160" s="198">
        <v>0.10549799999999999</v>
      </c>
    </row>
    <row r="161" spans="1:10" ht="14.65" customHeight="1">
      <c r="A161" s="202"/>
      <c r="B161" s="202"/>
      <c r="C161" s="202"/>
      <c r="D161" s="202"/>
      <c r="E161" s="202"/>
      <c r="F161" s="202"/>
    </row>
    <row r="162" spans="1:10" ht="14.65" customHeight="1">
      <c r="A162" s="371" t="s">
        <v>1268</v>
      </c>
      <c r="B162" s="383" t="s">
        <v>1269</v>
      </c>
      <c r="C162" s="195" t="s">
        <v>1197</v>
      </c>
      <c r="D162" s="196">
        <v>7.0000000000000007E-2</v>
      </c>
      <c r="E162" s="201">
        <v>2490</v>
      </c>
      <c r="F162" s="198">
        <v>8.2400000000000001E-2</v>
      </c>
    </row>
    <row r="163" spans="1:10" ht="14.65" customHeight="1">
      <c r="A163" s="372"/>
      <c r="B163" s="384"/>
      <c r="C163" s="195" t="s">
        <v>1198</v>
      </c>
      <c r="D163" s="196">
        <v>7.4999999999999997E-2</v>
      </c>
      <c r="E163" s="195" t="s">
        <v>1201</v>
      </c>
      <c r="F163" s="202"/>
    </row>
    <row r="164" spans="1:10" ht="14.65" customHeight="1">
      <c r="A164" s="372"/>
      <c r="B164" s="384"/>
      <c r="C164" s="195" t="s">
        <v>1191</v>
      </c>
      <c r="D164" s="196">
        <v>0.1</v>
      </c>
      <c r="E164" s="195" t="s">
        <v>1201</v>
      </c>
      <c r="F164" s="202"/>
    </row>
    <row r="165" spans="1:10" ht="14.65" customHeight="1">
      <c r="A165" s="372"/>
      <c r="B165" s="384"/>
      <c r="C165" s="195" t="s">
        <v>1255</v>
      </c>
      <c r="D165" s="196">
        <v>0.105</v>
      </c>
      <c r="E165" s="201">
        <v>4000</v>
      </c>
      <c r="F165" s="198">
        <v>9.98E-2</v>
      </c>
    </row>
    <row r="166" spans="1:10" ht="14.65" customHeight="1">
      <c r="A166" s="373"/>
      <c r="B166" s="387"/>
      <c r="C166" s="195" t="s">
        <v>1192</v>
      </c>
      <c r="D166" s="196">
        <v>0.11</v>
      </c>
      <c r="E166" s="201">
        <v>9561</v>
      </c>
      <c r="F166" s="198">
        <v>0.10520599999999999</v>
      </c>
      <c r="H166" s="193">
        <v>2020</v>
      </c>
      <c r="I166" s="193" t="s">
        <v>1233</v>
      </c>
      <c r="J166" s="193" t="s">
        <v>1234</v>
      </c>
    </row>
    <row r="167" spans="1:10" ht="14.65" customHeight="1">
      <c r="A167" s="202"/>
      <c r="B167" s="202"/>
      <c r="C167" s="202"/>
      <c r="D167" s="202"/>
      <c r="E167" s="202"/>
      <c r="F167" s="202"/>
      <c r="H167" s="193" t="s">
        <v>1235</v>
      </c>
      <c r="I167" s="235" t="str" cm="1">
        <f t="array" ref="I167">IFERROR(
  AVERAGE(
    _xlfn._xlws.FILTER(
      $F$104:$F$172,
      ($C$104:$C$172 = $H167) * ($F$104:$F$172 &gt; 0)
    )
  ),
  "No matches"
)</f>
        <v>No matches</v>
      </c>
      <c r="J167" s="235" t="str" cm="1">
        <f t="array" ref="J167">IFERROR(
  AVERAGE(
    _xlfn._xlws.FILTER(
      $D$104:$D$172,
      ($C$104:$C$172 = $H167) * ($D$104:$D$172 &gt; 0)
    )
  ),
  "Zero"
)</f>
        <v>Zero</v>
      </c>
    </row>
    <row r="168" spans="1:10" ht="14.65" customHeight="1">
      <c r="A168" s="371" t="s">
        <v>1270</v>
      </c>
      <c r="B168" s="383" t="s">
        <v>1271</v>
      </c>
      <c r="C168" s="195" t="s">
        <v>1197</v>
      </c>
      <c r="D168" s="196">
        <v>7.0000000000000007E-2</v>
      </c>
      <c r="E168" s="201">
        <v>2271.5</v>
      </c>
      <c r="F168" s="198">
        <v>8.2400000000000001E-2</v>
      </c>
      <c r="H168" s="193" t="s">
        <v>1238</v>
      </c>
      <c r="I168" s="235" cm="1">
        <f t="array" ref="I168">IFERROR(
  AVERAGE(
    _xlfn._xlws.FILTER(
      $F$104:$F$172,
      ($C$104:$C$172 = $H168) * ($F$104:$F$172 &gt; 0)
    )
  ),
  "No matches"
)</f>
        <v>8.9533833333333326E-2</v>
      </c>
      <c r="J168" s="235" cm="1">
        <f t="array" ref="J168">IFERROR(
  AVERAGE(
    _xlfn._xlws.FILTER(
      $D$104:$D$172,
      ($C$104:$C$172 = $H168) * ($D$104:$D$172 &gt; 0)
    )
  ),
  "Zero"
)</f>
        <v>8.1666666666666679E-2</v>
      </c>
    </row>
    <row r="169" spans="1:10" ht="14.65" customHeight="1">
      <c r="A169" s="372"/>
      <c r="B169" s="384"/>
      <c r="C169" s="195" t="s">
        <v>1198</v>
      </c>
      <c r="D169" s="196">
        <v>7.4999999999999997E-2</v>
      </c>
      <c r="E169" s="195" t="s">
        <v>1201</v>
      </c>
      <c r="F169" s="202"/>
      <c r="H169" s="193" t="s">
        <v>1239</v>
      </c>
      <c r="I169" s="235" cm="1">
        <f t="array" ref="I169">IFERROR(
  AVERAGE(
    _xlfn._xlws.FILTER(
      $F$104:$F$172,
      ($C$104:$C$172 = $H169) * ($F$104:$F$172 &gt; 0)
    )
  ),
  "No matches"
)</f>
        <v>9.2676333333333333E-2</v>
      </c>
      <c r="J169" s="235" cm="1">
        <f t="array" ref="J169">IFERROR(
  AVERAGE(
    _xlfn._xlws.FILTER(
      $D$104:$D$172,
      ($C$104:$C$172 = $H169) * ($D$104:$D$172 &gt; 0)
    )
  ),
  "Zero"
)</f>
        <v>8.9999999999999983E-2</v>
      </c>
    </row>
    <row r="170" spans="1:10" ht="14.65" customHeight="1">
      <c r="A170" s="372"/>
      <c r="B170" s="384"/>
      <c r="C170" s="195" t="s">
        <v>1191</v>
      </c>
      <c r="D170" s="196">
        <v>0.08</v>
      </c>
      <c r="E170" s="195" t="s">
        <v>1201</v>
      </c>
      <c r="F170" s="202"/>
      <c r="H170" s="193" t="s">
        <v>1240</v>
      </c>
      <c r="I170" s="235" cm="1">
        <f t="array" ref="I170">IFERROR(
  AVERAGE(
    _xlfn._xlws.FILTER(
      $F$104:$F$172,
      ($C$104:$C$172 = $H170) * ($F$104:$F$172 &gt; 0)
    )
  ),
  "No matches"
)</f>
        <v>9.5228999999999994E-2</v>
      </c>
      <c r="J170" s="235" cm="1">
        <f t="array" ref="J170">IFERROR(
  AVERAGE(
    _xlfn._xlws.FILTER(
      $D$104:$D$172,
      ($C$104:$C$172 = $H170) * ($D$104:$D$172 &gt; 0)
    )
  ),
  "Zero"
)</f>
        <v>9.8333333333333328E-2</v>
      </c>
    </row>
    <row r="171" spans="1:10" ht="14.65" customHeight="1">
      <c r="A171" s="372"/>
      <c r="B171" s="384"/>
      <c r="C171" s="195" t="s">
        <v>1255</v>
      </c>
      <c r="D171" s="196">
        <v>0.105</v>
      </c>
      <c r="E171" s="201">
        <v>3000</v>
      </c>
      <c r="F171" s="198">
        <v>0.1</v>
      </c>
      <c r="H171" s="193" t="s">
        <v>1242</v>
      </c>
      <c r="I171" s="235" cm="1">
        <f t="array" ref="I171">IFERROR(
  AVERAGE(
    _xlfn._xlws.FILTER(
      $F$104:$F$172,
      ($C$104:$C$172 = $H171) * ($F$104:$F$172 &gt; 0)
    )
  ),
  "No matches"
)</f>
        <v>9.9462499999999995E-2</v>
      </c>
      <c r="J171" s="235" cm="1">
        <f t="array" ref="J171">IFERROR(
  AVERAGE(
    _xlfn._xlws.FILTER(
      $D$104:$D$172,
      ($C$104:$C$172 = $H171) * ($D$104:$D$172 &gt; 0)
    )
  ),
  "Zero"
)</f>
        <v>0.105</v>
      </c>
    </row>
    <row r="172" spans="1:10" ht="14.65" customHeight="1">
      <c r="A172" s="373"/>
      <c r="B172" s="387"/>
      <c r="C172" s="195" t="s">
        <v>1192</v>
      </c>
      <c r="D172" s="196">
        <v>0.11</v>
      </c>
      <c r="E172" s="201">
        <v>8000</v>
      </c>
      <c r="F172" s="198">
        <v>0.105624</v>
      </c>
      <c r="H172" s="193" t="s">
        <v>1243</v>
      </c>
      <c r="I172" s="235" cm="1">
        <f t="array" ref="I172">IFERROR(
  AVERAGE(
    _xlfn._xlws.FILTER(
      $F$104:$F$172,
      ($C$104:$C$172 = $H172) * ($F$104:$F$172 &gt; 0)
    )
  ),
  "No matches"
)</f>
        <v>0.10662166666666667</v>
      </c>
      <c r="J172" s="235" cm="1">
        <f t="array" ref="J172">IFERROR(
  AVERAGE(
    _xlfn._xlws.FILTER(
      $D$104:$D$172,
      ($C$104:$C$172 = $H172) * ($D$104:$D$172 &gt; 0)
    )
  ),
  "Zero"
)</f>
        <v>0.11000000000000003</v>
      </c>
    </row>
    <row r="173" spans="1:10" ht="14.65" customHeight="1">
      <c r="A173" s="202"/>
      <c r="B173" s="202"/>
      <c r="C173" s="202"/>
      <c r="D173" s="202"/>
      <c r="E173" s="202"/>
      <c r="F173" s="202"/>
      <c r="H173" s="459" t="s">
        <v>1246</v>
      </c>
      <c r="I173" s="235" t="str" cm="1">
        <f t="array" ref="I173">IFERROR(
  AVERAGE(
    _xlfn._xlws.FILTER(
      $F$104:$F$172,
      ($C$104:$C$172 = $H173) * ($F$104:$F$172 &gt; 0)
    )
  ),
  "No matches"
)</f>
        <v>No matches</v>
      </c>
      <c r="J173" s="235" t="str" cm="1">
        <f t="array" ref="J173">IFERROR(
  AVERAGE(
    _xlfn._xlws.FILTER(
      $D$104:$D$172,
      ($C$104:$C$172 = $H173) * ($D$104:$D$172 &gt; 0)
    )
  ),
  "No Matches"
)</f>
        <v>No Matches</v>
      </c>
    </row>
    <row r="174" spans="1:10" ht="14.65" customHeight="1">
      <c r="A174" s="400" t="s">
        <v>1272</v>
      </c>
      <c r="B174" s="374" t="s">
        <v>1273</v>
      </c>
      <c r="C174" s="195" t="s">
        <v>1197</v>
      </c>
      <c r="D174" s="196">
        <v>7.0000000000000007E-2</v>
      </c>
      <c r="E174" s="201">
        <v>8830</v>
      </c>
      <c r="F174" s="198">
        <v>8.4070000000000006E-2</v>
      </c>
      <c r="I174" s="234">
        <f>AVERAGE(I167:I173)</f>
        <v>9.6704666666666675E-2</v>
      </c>
      <c r="J174" s="234">
        <f>AVERAGE(J167:J173)</f>
        <v>9.7000000000000003E-2</v>
      </c>
    </row>
    <row r="175" spans="1:10" ht="14.65" customHeight="1">
      <c r="A175" s="401"/>
      <c r="B175" s="375"/>
      <c r="C175" s="195" t="s">
        <v>1198</v>
      </c>
      <c r="D175" s="196">
        <v>7.4999999999999997E-2</v>
      </c>
      <c r="E175" s="201">
        <v>20500</v>
      </c>
      <c r="F175" s="198">
        <v>9.4499E-2</v>
      </c>
    </row>
    <row r="176" spans="1:10" ht="14.65" customHeight="1">
      <c r="A176" s="401"/>
      <c r="B176" s="375"/>
      <c r="C176" s="195" t="s">
        <v>1191</v>
      </c>
      <c r="D176" s="196">
        <v>0.08</v>
      </c>
      <c r="E176" s="201">
        <v>6000</v>
      </c>
      <c r="F176" s="198">
        <v>9.9199999999999997E-2</v>
      </c>
    </row>
    <row r="177" spans="1:6" ht="14.65" customHeight="1">
      <c r="A177" s="401"/>
      <c r="B177" s="375"/>
      <c r="C177" s="195" t="s">
        <v>1255</v>
      </c>
      <c r="D177" s="196">
        <v>0.105</v>
      </c>
      <c r="E177" s="195" t="s">
        <v>1201</v>
      </c>
      <c r="F177" s="202"/>
    </row>
    <row r="178" spans="1:6" ht="14.65" customHeight="1">
      <c r="A178" s="401"/>
      <c r="B178" s="375"/>
      <c r="C178" s="195" t="s">
        <v>1192</v>
      </c>
      <c r="D178" s="196">
        <v>0.11</v>
      </c>
      <c r="E178" s="195" t="s">
        <v>1201</v>
      </c>
      <c r="F178" s="202"/>
    </row>
    <row r="179" spans="1:6" ht="14.65" customHeight="1">
      <c r="A179" s="402"/>
      <c r="B179" s="376"/>
      <c r="C179" s="195" t="s">
        <v>1274</v>
      </c>
      <c r="D179" s="196">
        <v>0.11</v>
      </c>
      <c r="E179" s="403" t="s">
        <v>1275</v>
      </c>
      <c r="F179" s="404"/>
    </row>
    <row r="180" spans="1:6" ht="14.65" customHeight="1">
      <c r="A180" s="202"/>
      <c r="B180" s="202"/>
      <c r="C180" s="202"/>
      <c r="D180" s="202"/>
      <c r="E180" s="202"/>
      <c r="F180" s="202"/>
    </row>
    <row r="181" spans="1:6" ht="14.65" customHeight="1">
      <c r="A181" s="400" t="s">
        <v>1276</v>
      </c>
      <c r="B181" s="379" t="s">
        <v>1277</v>
      </c>
      <c r="C181" s="195" t="s">
        <v>1197</v>
      </c>
      <c r="D181" s="196">
        <v>7.0000000000000007E-2</v>
      </c>
      <c r="E181" s="201">
        <v>11265</v>
      </c>
      <c r="F181" s="198">
        <v>8.9082999999999996E-2</v>
      </c>
    </row>
    <row r="182" spans="1:6" ht="14.65" customHeight="1">
      <c r="A182" s="401"/>
      <c r="B182" s="380"/>
      <c r="C182" s="195" t="s">
        <v>1198</v>
      </c>
      <c r="D182" s="196">
        <v>7.4999999999999997E-2</v>
      </c>
      <c r="E182" s="201">
        <v>22117.5</v>
      </c>
      <c r="F182" s="198">
        <v>9.5316999999999999E-2</v>
      </c>
    </row>
    <row r="183" spans="1:6" ht="14.65" customHeight="1">
      <c r="A183" s="401"/>
      <c r="B183" s="380"/>
      <c r="C183" s="195" t="s">
        <v>1191</v>
      </c>
      <c r="D183" s="196">
        <v>0.08</v>
      </c>
      <c r="E183" s="201">
        <v>27255.4</v>
      </c>
      <c r="F183" s="198">
        <v>9.9927000000000002E-2</v>
      </c>
    </row>
    <row r="184" spans="1:6" ht="14.65" customHeight="1">
      <c r="A184" s="401"/>
      <c r="B184" s="380"/>
      <c r="C184" s="195" t="s">
        <v>1255</v>
      </c>
      <c r="D184" s="196">
        <v>0.105</v>
      </c>
      <c r="E184" s="403" t="s">
        <v>1275</v>
      </c>
      <c r="F184" s="404"/>
    </row>
    <row r="185" spans="1:6" ht="14.65" customHeight="1">
      <c r="A185" s="401"/>
      <c r="B185" s="380"/>
      <c r="C185" s="195" t="s">
        <v>1192</v>
      </c>
      <c r="D185" s="196">
        <v>0.11</v>
      </c>
      <c r="E185" s="201">
        <v>1500</v>
      </c>
      <c r="F185" s="198">
        <v>0.10539999999999999</v>
      </c>
    </row>
    <row r="186" spans="1:6" ht="14.65" customHeight="1">
      <c r="A186" s="402"/>
      <c r="B186" s="381"/>
      <c r="C186" s="195" t="s">
        <v>1274</v>
      </c>
      <c r="D186" s="196">
        <v>0.11</v>
      </c>
      <c r="E186" s="403" t="s">
        <v>1275</v>
      </c>
      <c r="F186" s="404"/>
    </row>
    <row r="187" spans="1:6" ht="14.65" customHeight="1">
      <c r="A187" s="206"/>
      <c r="B187" s="206"/>
      <c r="C187" s="206"/>
      <c r="D187" s="206"/>
      <c r="E187" s="206"/>
      <c r="F187" s="206"/>
    </row>
    <row r="188" spans="1:6" ht="15" customHeight="1">
      <c r="A188" s="382" t="s">
        <v>1189</v>
      </c>
      <c r="B188" s="382"/>
      <c r="C188" s="382"/>
      <c r="D188" s="382"/>
      <c r="E188" s="382"/>
      <c r="F188" s="382"/>
    </row>
    <row r="189" spans="1:6" ht="15.4" customHeight="1">
      <c r="A189" s="400" t="s">
        <v>1278</v>
      </c>
      <c r="B189" s="374" t="s">
        <v>1279</v>
      </c>
      <c r="C189" s="195" t="s">
        <v>1197</v>
      </c>
      <c r="D189" s="196">
        <v>7.0000000000000007E-2</v>
      </c>
      <c r="E189" s="201">
        <v>28854</v>
      </c>
      <c r="F189" s="198">
        <v>9.3342999999999995E-2</v>
      </c>
    </row>
    <row r="190" spans="1:6" ht="14.65" customHeight="1">
      <c r="A190" s="401"/>
      <c r="B190" s="375"/>
      <c r="C190" s="195" t="s">
        <v>1198</v>
      </c>
      <c r="D190" s="196">
        <v>7.4999999999999997E-2</v>
      </c>
      <c r="E190" s="201">
        <v>35910.699999999997</v>
      </c>
      <c r="F190" s="198">
        <v>9.8295999999999994E-2</v>
      </c>
    </row>
    <row r="191" spans="1:6" ht="14.65" customHeight="1">
      <c r="A191" s="401"/>
      <c r="B191" s="375"/>
      <c r="C191" s="195" t="s">
        <v>1191</v>
      </c>
      <c r="D191" s="196">
        <v>0.08</v>
      </c>
      <c r="E191" s="201">
        <v>20150</v>
      </c>
      <c r="F191" s="198">
        <v>0.10213999999999999</v>
      </c>
    </row>
    <row r="192" spans="1:6" ht="14.65" customHeight="1">
      <c r="A192" s="401"/>
      <c r="B192" s="375"/>
      <c r="C192" s="195" t="s">
        <v>1255</v>
      </c>
      <c r="D192" s="196">
        <v>0.105</v>
      </c>
      <c r="E192" s="403" t="s">
        <v>1275</v>
      </c>
      <c r="F192" s="404"/>
    </row>
    <row r="193" spans="1:6" ht="14.65" customHeight="1">
      <c r="A193" s="401"/>
      <c r="B193" s="375"/>
      <c r="C193" s="195" t="s">
        <v>1192</v>
      </c>
      <c r="D193" s="196">
        <v>0.11</v>
      </c>
      <c r="E193" s="403" t="s">
        <v>1275</v>
      </c>
      <c r="F193" s="404"/>
    </row>
    <row r="194" spans="1:6" ht="14.65" customHeight="1">
      <c r="A194" s="402"/>
      <c r="B194" s="376"/>
      <c r="C194" s="195" t="s">
        <v>1274</v>
      </c>
      <c r="D194" s="196">
        <v>0.11</v>
      </c>
      <c r="E194" s="403" t="s">
        <v>1275</v>
      </c>
      <c r="F194" s="404"/>
    </row>
    <row r="195" spans="1:6" ht="14.65" customHeight="1">
      <c r="A195" s="202"/>
      <c r="B195" s="202"/>
      <c r="C195" s="202"/>
      <c r="D195" s="202"/>
      <c r="E195" s="202"/>
      <c r="F195" s="202"/>
    </row>
    <row r="196" spans="1:6" ht="14.65" customHeight="1">
      <c r="A196" s="400" t="s">
        <v>1280</v>
      </c>
      <c r="B196" s="374" t="s">
        <v>1281</v>
      </c>
      <c r="C196" s="195" t="s">
        <v>1197</v>
      </c>
      <c r="D196" s="196">
        <v>7.0000000000000007E-2</v>
      </c>
      <c r="E196" s="201">
        <v>59437.8</v>
      </c>
      <c r="F196" s="198">
        <v>9.2202000000000006E-2</v>
      </c>
    </row>
    <row r="197" spans="1:6" ht="14.65" customHeight="1">
      <c r="A197" s="401"/>
      <c r="B197" s="375"/>
      <c r="C197" s="195" t="s">
        <v>1198</v>
      </c>
      <c r="D197" s="196">
        <v>7.4999999999999997E-2</v>
      </c>
      <c r="E197" s="201">
        <v>79511.899999999994</v>
      </c>
      <c r="F197" s="198">
        <v>9.7783999999999996E-2</v>
      </c>
    </row>
    <row r="198" spans="1:6" ht="14.65" customHeight="1">
      <c r="A198" s="401"/>
      <c r="B198" s="375"/>
      <c r="C198" s="195" t="s">
        <v>1191</v>
      </c>
      <c r="D198" s="196">
        <v>0.08</v>
      </c>
      <c r="E198" s="201">
        <v>47550</v>
      </c>
      <c r="F198" s="198">
        <v>0.10212400000000001</v>
      </c>
    </row>
    <row r="199" spans="1:6" ht="14.65" customHeight="1">
      <c r="A199" s="401"/>
      <c r="B199" s="375"/>
      <c r="C199" s="195" t="s">
        <v>1255</v>
      </c>
      <c r="D199" s="196">
        <v>0.105</v>
      </c>
      <c r="E199" s="201">
        <v>12000</v>
      </c>
      <c r="F199" s="198">
        <v>0.10477400000000001</v>
      </c>
    </row>
    <row r="200" spans="1:6" ht="14.65" customHeight="1">
      <c r="A200" s="401"/>
      <c r="B200" s="375"/>
      <c r="C200" s="195" t="s">
        <v>1192</v>
      </c>
      <c r="D200" s="196">
        <v>0.11</v>
      </c>
      <c r="E200" s="201">
        <v>12000</v>
      </c>
      <c r="F200" s="198">
        <v>0.106074</v>
      </c>
    </row>
    <row r="201" spans="1:6" ht="14.65" customHeight="1">
      <c r="A201" s="402"/>
      <c r="B201" s="376"/>
      <c r="C201" s="195" t="s">
        <v>1274</v>
      </c>
      <c r="D201" s="196">
        <v>0.11</v>
      </c>
      <c r="E201" s="403" t="s">
        <v>1275</v>
      </c>
      <c r="F201" s="404"/>
    </row>
    <row r="202" spans="1:6" ht="14.65" customHeight="1">
      <c r="A202" s="202"/>
      <c r="B202" s="202"/>
      <c r="C202" s="202"/>
      <c r="D202" s="202"/>
      <c r="E202" s="202"/>
      <c r="F202" s="202"/>
    </row>
    <row r="203" spans="1:6" ht="14.65" customHeight="1">
      <c r="A203" s="400" t="s">
        <v>1282</v>
      </c>
      <c r="B203" s="405" t="s">
        <v>1283</v>
      </c>
      <c r="C203" s="195" t="s">
        <v>1197</v>
      </c>
      <c r="D203" s="196">
        <v>7.0000000000000007E-2</v>
      </c>
      <c r="E203" s="201">
        <v>85992.6</v>
      </c>
      <c r="F203" s="198">
        <v>8.6212999999999998E-2</v>
      </c>
    </row>
    <row r="204" spans="1:6" ht="14.65" customHeight="1">
      <c r="A204" s="401"/>
      <c r="B204" s="406"/>
      <c r="C204" s="195" t="s">
        <v>1198</v>
      </c>
      <c r="D204" s="196">
        <v>7.4999999999999997E-2</v>
      </c>
      <c r="E204" s="201">
        <v>76434</v>
      </c>
      <c r="F204" s="198">
        <v>9.1245999999999994E-2</v>
      </c>
    </row>
    <row r="205" spans="1:6" ht="14.65" customHeight="1">
      <c r="A205" s="401"/>
      <c r="B205" s="406"/>
      <c r="C205" s="195" t="s">
        <v>1191</v>
      </c>
      <c r="D205" s="196">
        <v>0.08</v>
      </c>
      <c r="E205" s="201">
        <v>18458.099999999999</v>
      </c>
      <c r="F205" s="198">
        <v>9.7764000000000004E-2</v>
      </c>
    </row>
    <row r="206" spans="1:6" ht="14.65" customHeight="1">
      <c r="A206" s="401"/>
      <c r="B206" s="406"/>
      <c r="C206" s="195" t="s">
        <v>1255</v>
      </c>
      <c r="D206" s="196">
        <v>0.105</v>
      </c>
      <c r="E206" s="201">
        <v>15000</v>
      </c>
      <c r="F206" s="198">
        <v>0.10375</v>
      </c>
    </row>
    <row r="207" spans="1:6" ht="14.65" customHeight="1">
      <c r="A207" s="401"/>
      <c r="B207" s="406"/>
      <c r="C207" s="195" t="s">
        <v>1192</v>
      </c>
      <c r="D207" s="196">
        <v>0.11</v>
      </c>
      <c r="E207" s="201">
        <v>10000</v>
      </c>
      <c r="F207" s="198">
        <v>0.10544000000000001</v>
      </c>
    </row>
    <row r="208" spans="1:6" ht="14.65" customHeight="1">
      <c r="A208" s="402"/>
      <c r="B208" s="407"/>
      <c r="C208" s="195" t="s">
        <v>1274</v>
      </c>
      <c r="D208" s="196">
        <v>0.11</v>
      </c>
      <c r="E208" s="403" t="s">
        <v>1275</v>
      </c>
      <c r="F208" s="404"/>
    </row>
    <row r="209" spans="1:6" ht="14.65" customHeight="1">
      <c r="A209" s="202"/>
      <c r="B209" s="202"/>
      <c r="C209" s="202"/>
      <c r="D209" s="202"/>
      <c r="E209" s="202"/>
      <c r="F209" s="202"/>
    </row>
    <row r="210" spans="1:6" ht="14.65" customHeight="1">
      <c r="A210" s="400" t="s">
        <v>1284</v>
      </c>
      <c r="B210" s="374" t="s">
        <v>1285</v>
      </c>
      <c r="C210" s="195" t="s">
        <v>1197</v>
      </c>
      <c r="D210" s="196">
        <v>7.0000000000000007E-2</v>
      </c>
      <c r="E210" s="201">
        <v>157090</v>
      </c>
      <c r="F210" s="198">
        <v>8.6125999999999994E-2</v>
      </c>
    </row>
    <row r="211" spans="1:6" ht="14.65" customHeight="1">
      <c r="A211" s="401"/>
      <c r="B211" s="375"/>
      <c r="C211" s="195" t="s">
        <v>1198</v>
      </c>
      <c r="D211" s="196">
        <v>7.4999999999999997E-2</v>
      </c>
      <c r="E211" s="201">
        <v>8577.7000000000007</v>
      </c>
      <c r="F211" s="198">
        <v>9.1999999999999998E-2</v>
      </c>
    </row>
    <row r="212" spans="1:6" ht="14.65" customHeight="1">
      <c r="A212" s="401"/>
      <c r="B212" s="375"/>
      <c r="C212" s="195" t="s">
        <v>1191</v>
      </c>
      <c r="D212" s="196">
        <v>0.08</v>
      </c>
      <c r="E212" s="197">
        <v>315</v>
      </c>
      <c r="F212" s="198">
        <v>9.8390000000000005E-2</v>
      </c>
    </row>
    <row r="213" spans="1:6" ht="14.65" customHeight="1">
      <c r="A213" s="401"/>
      <c r="B213" s="375"/>
      <c r="C213" s="195" t="s">
        <v>1255</v>
      </c>
      <c r="D213" s="196">
        <v>0.105</v>
      </c>
      <c r="E213" s="403" t="s">
        <v>1275</v>
      </c>
      <c r="F213" s="404"/>
    </row>
    <row r="214" spans="1:6" ht="14.65" customHeight="1">
      <c r="A214" s="401"/>
      <c r="B214" s="375"/>
      <c r="C214" s="195" t="s">
        <v>1192</v>
      </c>
      <c r="D214" s="196">
        <v>0.11</v>
      </c>
      <c r="E214" s="403" t="s">
        <v>1275</v>
      </c>
      <c r="F214" s="404"/>
    </row>
    <row r="215" spans="1:6" ht="14.65" customHeight="1">
      <c r="A215" s="402"/>
      <c r="B215" s="376"/>
      <c r="C215" s="195" t="s">
        <v>1274</v>
      </c>
      <c r="D215" s="196">
        <v>0.11</v>
      </c>
      <c r="E215" s="403" t="s">
        <v>1275</v>
      </c>
      <c r="F215" s="404"/>
    </row>
    <row r="216" spans="1:6" ht="14.65" customHeight="1">
      <c r="A216" s="202"/>
      <c r="B216" s="202"/>
      <c r="C216" s="202"/>
      <c r="D216" s="202"/>
      <c r="E216" s="202"/>
      <c r="F216" s="202"/>
    </row>
    <row r="217" spans="1:6" ht="14.65" customHeight="1">
      <c r="A217" s="400" t="s">
        <v>1286</v>
      </c>
      <c r="B217" s="405" t="s">
        <v>1287</v>
      </c>
      <c r="C217" s="195" t="s">
        <v>1197</v>
      </c>
      <c r="D217" s="196">
        <v>7.0000000000000007E-2</v>
      </c>
      <c r="E217" s="201">
        <v>138746</v>
      </c>
      <c r="F217" s="198">
        <v>8.6625999999999995E-2</v>
      </c>
    </row>
    <row r="218" spans="1:6" ht="14.65" customHeight="1">
      <c r="A218" s="401"/>
      <c r="B218" s="406"/>
      <c r="C218" s="195" t="s">
        <v>1198</v>
      </c>
      <c r="D218" s="196">
        <v>7.4999999999999997E-2</v>
      </c>
      <c r="E218" s="201">
        <v>6515.5</v>
      </c>
      <c r="F218" s="198">
        <v>9.1980000000000006E-2</v>
      </c>
    </row>
    <row r="219" spans="1:6" ht="14.65" customHeight="1">
      <c r="A219" s="401"/>
      <c r="B219" s="406"/>
      <c r="C219" s="195" t="s">
        <v>1191</v>
      </c>
      <c r="D219" s="196">
        <v>0.08</v>
      </c>
      <c r="E219" s="359" t="s">
        <v>1288</v>
      </c>
      <c r="F219" s="360"/>
    </row>
    <row r="220" spans="1:6" ht="14.65" customHeight="1">
      <c r="A220" s="401"/>
      <c r="B220" s="406"/>
      <c r="C220" s="195" t="s">
        <v>1255</v>
      </c>
      <c r="D220" s="196">
        <v>0.105</v>
      </c>
      <c r="E220" s="201">
        <v>4000</v>
      </c>
      <c r="F220" s="198">
        <v>0.104</v>
      </c>
    </row>
    <row r="221" spans="1:6" ht="14.65" customHeight="1">
      <c r="A221" s="401"/>
      <c r="B221" s="406"/>
      <c r="C221" s="195" t="s">
        <v>1192</v>
      </c>
      <c r="D221" s="196">
        <v>0.11</v>
      </c>
      <c r="E221" s="377" t="s">
        <v>1289</v>
      </c>
      <c r="F221" s="378"/>
    </row>
    <row r="222" spans="1:6" ht="14.65" customHeight="1">
      <c r="A222" s="402"/>
      <c r="B222" s="407"/>
      <c r="C222" s="195" t="s">
        <v>1274</v>
      </c>
      <c r="D222" s="196">
        <v>0.11</v>
      </c>
      <c r="E222" s="377" t="s">
        <v>1289</v>
      </c>
      <c r="F222" s="378"/>
    </row>
    <row r="223" spans="1:6" ht="14.65" customHeight="1">
      <c r="A223" s="202"/>
      <c r="B223" s="202"/>
      <c r="C223" s="202"/>
      <c r="D223" s="202"/>
      <c r="E223" s="202"/>
      <c r="F223" s="202"/>
    </row>
    <row r="224" spans="1:6" ht="14.65" customHeight="1">
      <c r="A224" s="400" t="s">
        <v>1290</v>
      </c>
      <c r="B224" s="374" t="s">
        <v>1291</v>
      </c>
      <c r="C224" s="195" t="s">
        <v>1197</v>
      </c>
      <c r="D224" s="196">
        <v>7.0000000000000007E-2</v>
      </c>
      <c r="E224" s="201">
        <v>81629.2</v>
      </c>
      <c r="F224" s="198">
        <v>8.8457999999999995E-2</v>
      </c>
    </row>
    <row r="225" spans="1:6" ht="14.65" customHeight="1">
      <c r="A225" s="401"/>
      <c r="B225" s="375"/>
      <c r="C225" s="195" t="s">
        <v>1198</v>
      </c>
      <c r="D225" s="196">
        <v>7.4999999999999997E-2</v>
      </c>
      <c r="E225" s="201">
        <v>34893</v>
      </c>
      <c r="F225" s="198">
        <v>9.1720999999999997E-2</v>
      </c>
    </row>
    <row r="226" spans="1:6" ht="14.65" customHeight="1">
      <c r="A226" s="401"/>
      <c r="B226" s="375"/>
      <c r="C226" s="195" t="s">
        <v>1191</v>
      </c>
      <c r="D226" s="196">
        <v>0.08</v>
      </c>
      <c r="E226" s="201">
        <v>5187</v>
      </c>
      <c r="F226" s="198">
        <v>9.8390000000000005E-2</v>
      </c>
    </row>
    <row r="227" spans="1:6" ht="14.65" customHeight="1">
      <c r="A227" s="401"/>
      <c r="B227" s="375"/>
      <c r="C227" s="195" t="s">
        <v>1255</v>
      </c>
      <c r="D227" s="196">
        <v>0.105</v>
      </c>
      <c r="E227" s="201">
        <v>40000</v>
      </c>
      <c r="F227" s="198">
        <v>0.104</v>
      </c>
    </row>
    <row r="228" spans="1:6" ht="14.65" customHeight="1">
      <c r="A228" s="401"/>
      <c r="B228" s="375"/>
      <c r="C228" s="195" t="s">
        <v>1192</v>
      </c>
      <c r="D228" s="196">
        <v>0.11</v>
      </c>
      <c r="E228" s="377" t="s">
        <v>1289</v>
      </c>
      <c r="F228" s="378"/>
    </row>
    <row r="229" spans="1:6" ht="14.65" customHeight="1">
      <c r="A229" s="402"/>
      <c r="B229" s="376"/>
      <c r="C229" s="195" t="s">
        <v>1274</v>
      </c>
      <c r="D229" s="196">
        <v>0.11</v>
      </c>
      <c r="E229" s="377" t="s">
        <v>1289</v>
      </c>
      <c r="F229" s="378"/>
    </row>
    <row r="230" spans="1:6" ht="14.65" customHeight="1">
      <c r="A230" s="206"/>
      <c r="B230" s="206"/>
      <c r="C230" s="206"/>
      <c r="D230" s="206"/>
      <c r="E230" s="206"/>
      <c r="F230" s="206"/>
    </row>
    <row r="231" spans="1:6" ht="15" customHeight="1">
      <c r="A231" s="382" t="s">
        <v>1189</v>
      </c>
      <c r="B231" s="382"/>
      <c r="C231" s="382"/>
      <c r="D231" s="382"/>
      <c r="E231" s="382"/>
      <c r="F231" s="382"/>
    </row>
    <row r="232" spans="1:6" ht="15.4" customHeight="1">
      <c r="A232" s="400" t="s">
        <v>1292</v>
      </c>
      <c r="B232" s="383" t="s">
        <v>1293</v>
      </c>
      <c r="C232" s="195" t="s">
        <v>1197</v>
      </c>
      <c r="D232" s="196">
        <v>7.0000000000000007E-2</v>
      </c>
      <c r="E232" s="201">
        <v>21568</v>
      </c>
      <c r="F232" s="198">
        <v>8.8788000000000006E-2</v>
      </c>
    </row>
    <row r="233" spans="1:6" ht="14.65" customHeight="1">
      <c r="A233" s="401"/>
      <c r="B233" s="384"/>
      <c r="C233" s="195" t="s">
        <v>1198</v>
      </c>
      <c r="D233" s="196">
        <v>7.4999999999999997E-2</v>
      </c>
      <c r="E233" s="201">
        <v>24819</v>
      </c>
      <c r="F233" s="198">
        <v>9.1602000000000003E-2</v>
      </c>
    </row>
    <row r="234" spans="1:6" ht="14.65" customHeight="1">
      <c r="A234" s="401"/>
      <c r="B234" s="384"/>
      <c r="C234" s="195" t="s">
        <v>1191</v>
      </c>
      <c r="D234" s="196">
        <v>0.08</v>
      </c>
      <c r="E234" s="201">
        <v>36899.5</v>
      </c>
      <c r="F234" s="198">
        <v>9.8229999999999998E-2</v>
      </c>
    </row>
    <row r="235" spans="1:6" ht="14.65" customHeight="1">
      <c r="A235" s="401"/>
      <c r="B235" s="384"/>
      <c r="C235" s="195" t="s">
        <v>1255</v>
      </c>
      <c r="D235" s="196">
        <v>0.105</v>
      </c>
      <c r="E235" s="201">
        <v>15000</v>
      </c>
      <c r="F235" s="198">
        <v>0.104</v>
      </c>
    </row>
    <row r="236" spans="1:6" ht="14.65" customHeight="1">
      <c r="A236" s="401"/>
      <c r="B236" s="384"/>
      <c r="C236" s="195" t="s">
        <v>1192</v>
      </c>
      <c r="D236" s="196">
        <v>0.11</v>
      </c>
      <c r="E236" s="377" t="s">
        <v>1289</v>
      </c>
      <c r="F236" s="378"/>
    </row>
    <row r="237" spans="1:6" ht="14.65" customHeight="1">
      <c r="A237" s="402"/>
      <c r="B237" s="387"/>
      <c r="C237" s="195" t="s">
        <v>1274</v>
      </c>
      <c r="D237" s="196">
        <v>0.11</v>
      </c>
      <c r="E237" s="377" t="s">
        <v>1289</v>
      </c>
      <c r="F237" s="378"/>
    </row>
    <row r="238" spans="1:6" ht="14.65" customHeight="1">
      <c r="A238" s="356"/>
      <c r="B238" s="356"/>
      <c r="C238" s="356"/>
      <c r="D238" s="356"/>
      <c r="E238" s="356"/>
      <c r="F238" s="356"/>
    </row>
    <row r="239" spans="1:6" ht="14.65" customHeight="1">
      <c r="A239" s="371" t="s">
        <v>1294</v>
      </c>
      <c r="B239" s="379" t="s">
        <v>1295</v>
      </c>
      <c r="C239" s="195" t="s">
        <v>1197</v>
      </c>
      <c r="D239" s="196">
        <v>7.0000000000000007E-2</v>
      </c>
      <c r="E239" s="359" t="s">
        <v>1288</v>
      </c>
      <c r="F239" s="360"/>
    </row>
    <row r="240" spans="1:6" ht="14.65" customHeight="1">
      <c r="A240" s="372"/>
      <c r="B240" s="380"/>
      <c r="C240" s="195" t="s">
        <v>1198</v>
      </c>
      <c r="D240" s="196">
        <v>7.4999999999999997E-2</v>
      </c>
      <c r="E240" s="359" t="s">
        <v>1288</v>
      </c>
      <c r="F240" s="360"/>
    </row>
    <row r="241" spans="1:10" ht="14.65" customHeight="1">
      <c r="A241" s="372"/>
      <c r="B241" s="380"/>
      <c r="C241" s="195" t="s">
        <v>1191</v>
      </c>
      <c r="D241" s="196">
        <v>0.08</v>
      </c>
      <c r="E241" s="359" t="s">
        <v>1288</v>
      </c>
      <c r="F241" s="360"/>
    </row>
    <row r="242" spans="1:10" ht="14.65" customHeight="1">
      <c r="A242" s="372"/>
      <c r="B242" s="380"/>
      <c r="C242" s="195" t="s">
        <v>1255</v>
      </c>
      <c r="D242" s="196">
        <v>0.105</v>
      </c>
      <c r="E242" s="359" t="s">
        <v>1288</v>
      </c>
      <c r="F242" s="360"/>
    </row>
    <row r="243" spans="1:10" ht="14.65" customHeight="1">
      <c r="A243" s="372"/>
      <c r="B243" s="380"/>
      <c r="C243" s="195" t="s">
        <v>1192</v>
      </c>
      <c r="D243" s="196">
        <v>0.11</v>
      </c>
      <c r="E243" s="377" t="s">
        <v>1289</v>
      </c>
      <c r="F243" s="378"/>
    </row>
    <row r="244" spans="1:10" ht="14.65" customHeight="1">
      <c r="A244" s="373"/>
      <c r="B244" s="381"/>
      <c r="C244" s="195" t="s">
        <v>1274</v>
      </c>
      <c r="D244" s="196">
        <v>0.11</v>
      </c>
      <c r="E244" s="377" t="s">
        <v>1289</v>
      </c>
      <c r="F244" s="378"/>
    </row>
    <row r="245" spans="1:10" ht="14.65" customHeight="1">
      <c r="A245" s="356"/>
      <c r="B245" s="356"/>
      <c r="C245" s="356"/>
      <c r="D245" s="356"/>
      <c r="E245" s="356"/>
      <c r="F245" s="356"/>
    </row>
    <row r="246" spans="1:10" ht="14.65" customHeight="1">
      <c r="A246" s="371" t="s">
        <v>1296</v>
      </c>
      <c r="B246" s="383" t="s">
        <v>1297</v>
      </c>
      <c r="C246" s="195" t="s">
        <v>1197</v>
      </c>
      <c r="D246" s="196">
        <v>7.0000000000000007E-2</v>
      </c>
      <c r="E246" s="201">
        <v>25125</v>
      </c>
      <c r="F246" s="198">
        <v>0.111552</v>
      </c>
    </row>
    <row r="247" spans="1:10" ht="14.65" customHeight="1">
      <c r="A247" s="372"/>
      <c r="B247" s="384"/>
      <c r="C247" s="195" t="s">
        <v>1198</v>
      </c>
      <c r="D247" s="196">
        <v>7.4999999999999997E-2</v>
      </c>
      <c r="E247" s="201">
        <v>57760.6</v>
      </c>
      <c r="F247" s="198">
        <v>0.114263</v>
      </c>
    </row>
    <row r="248" spans="1:10" ht="14.65" customHeight="1">
      <c r="A248" s="372"/>
      <c r="B248" s="384"/>
      <c r="C248" s="195" t="s">
        <v>1191</v>
      </c>
      <c r="D248" s="196">
        <v>0.08</v>
      </c>
      <c r="E248" s="201">
        <v>35500</v>
      </c>
      <c r="F248" s="198">
        <v>0.117109</v>
      </c>
    </row>
    <row r="249" spans="1:10" ht="14.65" customHeight="1">
      <c r="A249" s="372"/>
      <c r="B249" s="384"/>
      <c r="C249" s="195" t="s">
        <v>1255</v>
      </c>
      <c r="D249" s="196">
        <v>0.105</v>
      </c>
      <c r="E249" s="359" t="s">
        <v>1288</v>
      </c>
      <c r="F249" s="360"/>
    </row>
    <row r="250" spans="1:10" ht="14.65" customHeight="1">
      <c r="A250" s="372"/>
      <c r="B250" s="384"/>
      <c r="C250" s="195" t="s">
        <v>1192</v>
      </c>
      <c r="D250" s="196">
        <v>0.11</v>
      </c>
      <c r="E250" s="377" t="s">
        <v>1289</v>
      </c>
      <c r="F250" s="378"/>
    </row>
    <row r="251" spans="1:10" ht="14.65" customHeight="1">
      <c r="A251" s="373"/>
      <c r="B251" s="387"/>
      <c r="C251" s="195" t="s">
        <v>1274</v>
      </c>
      <c r="D251" s="196">
        <v>0.11</v>
      </c>
      <c r="E251" s="377" t="s">
        <v>1289</v>
      </c>
      <c r="F251" s="378"/>
    </row>
    <row r="252" spans="1:10" ht="14.65" customHeight="1">
      <c r="A252" s="356"/>
      <c r="B252" s="356"/>
      <c r="C252" s="356"/>
      <c r="D252" s="356"/>
      <c r="E252" s="356"/>
      <c r="F252" s="356"/>
      <c r="H252" s="193">
        <v>2021</v>
      </c>
      <c r="I252" s="193" t="s">
        <v>1233</v>
      </c>
      <c r="J252" s="193" t="s">
        <v>1234</v>
      </c>
    </row>
    <row r="253" spans="1:10" ht="14.65" customHeight="1">
      <c r="A253" s="371" t="s">
        <v>1298</v>
      </c>
      <c r="B253" s="383" t="s">
        <v>1299</v>
      </c>
      <c r="C253" s="195" t="s">
        <v>1197</v>
      </c>
      <c r="D253" s="196">
        <v>7.0000000000000007E-2</v>
      </c>
      <c r="E253" s="201">
        <v>39769.699999999997</v>
      </c>
      <c r="F253" s="198">
        <v>0.114618</v>
      </c>
      <c r="H253" s="193" t="s">
        <v>1235</v>
      </c>
      <c r="I253" s="235" t="str" cm="1">
        <f t="array" ref="I253">IFERROR(
  AVERAGE(
    _xlfn._xlws.FILTER(
      $F$174:$F$258,
      ($C$174:$C$258 = H253) * ($F$174:$F$258 &gt; 0)
    )
  ),
  "No matches"
)</f>
        <v>No matches</v>
      </c>
      <c r="J253" s="235" t="str" cm="1">
        <f t="array" ref="J253">IFERROR(
  AVERAGE(
    _xlfn._xlws.FILTER(
      $D$174:$D$258,
      ($C$174:$C$258 = H253) * ($D$174:$D$258 &gt; 0)
    )
  ),
  "Zero"
)</f>
        <v>Zero</v>
      </c>
    </row>
    <row r="254" spans="1:10" ht="14.65" customHeight="1">
      <c r="A254" s="372"/>
      <c r="B254" s="384"/>
      <c r="C254" s="195" t="s">
        <v>1198</v>
      </c>
      <c r="D254" s="196">
        <v>7.4999999999999997E-2</v>
      </c>
      <c r="E254" s="201">
        <v>109238.9</v>
      </c>
      <c r="F254" s="198">
        <v>0.114616</v>
      </c>
      <c r="H254" s="193" t="s">
        <v>1238</v>
      </c>
      <c r="I254" s="235" cm="1">
        <f t="array" ref="I254">IFERROR(
  AVERAGE(
    _xlfn._xlws.FILTER(
      $F$174:$F$258,
      ($C$174:$C$258 = H254) * ($F$174:$F$258 &gt; 0)
    )
  ),
  "No matches"
)</f>
        <v>9.2825363636363623E-2</v>
      </c>
      <c r="J254" s="235" cm="1">
        <f t="array" ref="J254">IFERROR(
  AVERAGE(
    _xlfn._xlws.FILTER(
      $D$174:$D$258,
      ($C$174:$C$258 = H254) * ($D$174:$D$258 &gt; 0)
    )
  ),
  "Zero"
)</f>
        <v>7.0000000000000021E-2</v>
      </c>
    </row>
    <row r="255" spans="1:10" ht="14.65" customHeight="1">
      <c r="A255" s="372"/>
      <c r="B255" s="384"/>
      <c r="C255" s="195" t="s">
        <v>1191</v>
      </c>
      <c r="D255" s="196">
        <v>0.08</v>
      </c>
      <c r="E255" s="201">
        <v>20188.099999999999</v>
      </c>
      <c r="F255" s="198">
        <v>0.117436</v>
      </c>
      <c r="H255" s="193" t="s">
        <v>1239</v>
      </c>
      <c r="I255" s="235" cm="1">
        <f t="array" ref="I255">IFERROR(
  AVERAGE(
    _xlfn._xlws.FILTER(
      $F$174:$F$258,
      ($C$174:$C$258 = H255) * ($F$174:$F$258 &gt; 0)
    )
  ),
  "No matches"
)</f>
        <v>9.7574909090909087E-2</v>
      </c>
      <c r="J255" s="235" cm="1">
        <f t="array" ref="J255">IFERROR(
  AVERAGE(
    _xlfn._xlws.FILTER(
      $D$174:$D$258,
      ($C$174:$C$258 = H255) * ($D$174:$D$258 &gt; 0)
    )
  ),
  "Zero"
)</f>
        <v>7.4999999999999983E-2</v>
      </c>
    </row>
    <row r="256" spans="1:10" ht="14.65" customHeight="1">
      <c r="A256" s="372"/>
      <c r="B256" s="384"/>
      <c r="C256" s="195" t="s">
        <v>1255</v>
      </c>
      <c r="D256" s="196">
        <v>0.105</v>
      </c>
      <c r="E256" s="377" t="s">
        <v>1289</v>
      </c>
      <c r="F256" s="378"/>
      <c r="H256" s="193" t="s">
        <v>1240</v>
      </c>
      <c r="I256" s="235" cm="1">
        <f t="array" ref="I256">IFERROR(
  AVERAGE(
    _xlfn._xlws.FILTER(
      $F$174:$F$258,
      ($C$174:$C$258 = H256) * ($F$174:$F$258 &gt; 0)
    )
  ),
  "No matches"
)</f>
        <v>0.103071</v>
      </c>
      <c r="J256" s="235" cm="1">
        <f t="array" ref="J256">IFERROR(
  AVERAGE(
    _xlfn._xlws.FILTER(
      $D$174:$D$258,
      ($C$174:$C$258 = H256) * ($D$174:$D$258 &gt; 0)
    )
  ),
  "Zero"
)</f>
        <v>7.9999999999999988E-2</v>
      </c>
    </row>
    <row r="257" spans="1:10" ht="14.65" customHeight="1">
      <c r="A257" s="372"/>
      <c r="B257" s="384"/>
      <c r="C257" s="195" t="s">
        <v>1192</v>
      </c>
      <c r="D257" s="196">
        <v>0.11</v>
      </c>
      <c r="E257" s="359" t="s">
        <v>1288</v>
      </c>
      <c r="F257" s="360"/>
      <c r="H257" s="193" t="s">
        <v>1242</v>
      </c>
      <c r="I257" s="235" cm="1">
        <f t="array" ref="I257">IFERROR(
  AVERAGE(
    _xlfn._xlws.FILTER(
      $F$174:$F$258,
      ($C$174:$C$258 = H257) * ($F$174:$F$258 &gt; 0)
    )
  ),
  "No matches"
)</f>
        <v>0.1041048</v>
      </c>
      <c r="J257" s="235" cm="1">
        <f t="array" ref="J257">IFERROR(
  AVERAGE(
    _xlfn._xlws.FILTER(
      $D$174:$D$258,
      ($C$174:$C$258 = H257) * ($D$174:$D$258 &gt; 0)
    )
  ),
  "Zero"
)</f>
        <v>0.105</v>
      </c>
    </row>
    <row r="258" spans="1:10" ht="14.65" customHeight="1">
      <c r="A258" s="373"/>
      <c r="B258" s="387"/>
      <c r="C258" s="195" t="s">
        <v>1274</v>
      </c>
      <c r="D258" s="196">
        <v>0.11</v>
      </c>
      <c r="E258" s="377" t="s">
        <v>1289</v>
      </c>
      <c r="F258" s="378"/>
      <c r="H258" s="193" t="s">
        <v>1243</v>
      </c>
      <c r="I258" s="235" cm="1">
        <f t="array" ref="I258">IFERROR(
  AVERAGE(
    _xlfn._xlws.FILTER(
      $F$174:$F$258,
      ($C$174:$C$258 = H258) * ($F$174:$F$258 &gt; 0)
    )
  ),
  "No matches"
)</f>
        <v>0.10563800000000001</v>
      </c>
      <c r="J258" s="235" cm="1">
        <f t="array" ref="J258">IFERROR(
  AVERAGE(
    _xlfn._xlws.FILTER(
      $D$174:$D$258,
      ($C$174:$C$258 = H258) * ($D$174:$D$258 &gt; 0)
    )
  ),
  "Zero"
)</f>
        <v>0.11000000000000003</v>
      </c>
    </row>
    <row r="259" spans="1:10" ht="14.65" customHeight="1">
      <c r="A259" s="356"/>
      <c r="B259" s="356"/>
      <c r="C259" s="356"/>
      <c r="D259" s="356"/>
      <c r="E259" s="356"/>
      <c r="F259" s="356"/>
      <c r="H259" s="459" t="s">
        <v>1246</v>
      </c>
      <c r="I259" s="235" t="str" cm="1">
        <f t="array" ref="I259">IFERROR(
  AVERAGE(
    _xlfn._xlws.FILTER(
      $F$174:$F$258,
      ($C$174:$C$258 = H259) * ($F$174:$F$258 &gt; 0)
    )
  ),
  "No matches"
)</f>
        <v>No matches</v>
      </c>
      <c r="J259" s="235" cm="1">
        <f t="array" ref="J259">IFERROR(
  AVERAGE(
    _xlfn._xlws.FILTER(
      $D$174:$D$258,
      ($C$174:$C$258 = H259) * ($D$174:$D$258 &gt; 0)
    )
  ),
  "Zero"
)</f>
        <v>0.11000000000000003</v>
      </c>
    </row>
    <row r="260" spans="1:10" ht="14.65" customHeight="1">
      <c r="A260" s="371" t="s">
        <v>1300</v>
      </c>
      <c r="B260" s="379" t="s">
        <v>1301</v>
      </c>
      <c r="C260" s="195" t="s">
        <v>1197</v>
      </c>
      <c r="D260" s="196">
        <v>7.0000000000000007E-2</v>
      </c>
      <c r="E260" s="201">
        <v>119001.60000000001</v>
      </c>
      <c r="F260" s="198">
        <v>0.10749400000000001</v>
      </c>
      <c r="I260" s="234">
        <f>AVERAGE(I253:I259)</f>
        <v>0.10064281454545454</v>
      </c>
      <c r="J260" s="234">
        <f>AVERAGE(J253:J259)</f>
        <v>9.1666666666666674E-2</v>
      </c>
    </row>
    <row r="261" spans="1:10" ht="14.65" customHeight="1">
      <c r="A261" s="372"/>
      <c r="B261" s="380"/>
      <c r="C261" s="195" t="s">
        <v>1198</v>
      </c>
      <c r="D261" s="196">
        <v>7.4999999999999997E-2</v>
      </c>
      <c r="E261" s="201">
        <v>44917.5</v>
      </c>
      <c r="F261" s="198">
        <v>0.10799400000000001</v>
      </c>
    </row>
    <row r="262" spans="1:10" ht="14.65" customHeight="1">
      <c r="A262" s="372"/>
      <c r="B262" s="380"/>
      <c r="C262" s="195" t="s">
        <v>1191</v>
      </c>
      <c r="D262" s="196">
        <v>0.08</v>
      </c>
      <c r="E262" s="201">
        <v>13684.5</v>
      </c>
      <c r="F262" s="198">
        <v>0.10929999999999999</v>
      </c>
    </row>
    <row r="263" spans="1:10" ht="14.65" customHeight="1">
      <c r="A263" s="372"/>
      <c r="B263" s="380"/>
      <c r="C263" s="195" t="s">
        <v>1255</v>
      </c>
      <c r="D263" s="196">
        <v>0.105</v>
      </c>
      <c r="E263" s="359" t="s">
        <v>1288</v>
      </c>
      <c r="F263" s="360"/>
    </row>
    <row r="264" spans="1:10" ht="14.65" customHeight="1">
      <c r="A264" s="372"/>
      <c r="B264" s="380"/>
      <c r="C264" s="195" t="s">
        <v>1192</v>
      </c>
      <c r="D264" s="196">
        <v>0.11</v>
      </c>
      <c r="E264" s="359" t="s">
        <v>1288</v>
      </c>
      <c r="F264" s="360"/>
    </row>
    <row r="265" spans="1:10" ht="14.65" customHeight="1">
      <c r="A265" s="373"/>
      <c r="B265" s="381"/>
      <c r="C265" s="195" t="s">
        <v>1274</v>
      </c>
      <c r="D265" s="196">
        <v>0.11</v>
      </c>
      <c r="E265" s="377" t="s">
        <v>1289</v>
      </c>
      <c r="F265" s="378"/>
    </row>
    <row r="266" spans="1:10" ht="14.65" customHeight="1">
      <c r="A266" s="356"/>
      <c r="B266" s="356"/>
      <c r="C266" s="356"/>
      <c r="D266" s="356"/>
      <c r="E266" s="356"/>
      <c r="F266" s="356"/>
    </row>
    <row r="267" spans="1:10" ht="14.65" customHeight="1">
      <c r="A267" s="371" t="s">
        <v>1302</v>
      </c>
      <c r="B267" s="379" t="s">
        <v>1303</v>
      </c>
      <c r="C267" s="195" t="s">
        <v>1197</v>
      </c>
      <c r="D267" s="196">
        <v>7.0000000000000007E-2</v>
      </c>
      <c r="E267" s="201">
        <v>6221.1</v>
      </c>
      <c r="F267" s="198">
        <v>0.106749</v>
      </c>
    </row>
    <row r="268" spans="1:10" ht="14.65" customHeight="1">
      <c r="A268" s="372"/>
      <c r="B268" s="380"/>
      <c r="C268" s="195" t="s">
        <v>1198</v>
      </c>
      <c r="D268" s="196">
        <v>7.4999999999999997E-2</v>
      </c>
      <c r="E268" s="201">
        <v>47680</v>
      </c>
      <c r="F268" s="198">
        <v>0.107256</v>
      </c>
    </row>
    <row r="269" spans="1:10" ht="14.65" customHeight="1">
      <c r="A269" s="372"/>
      <c r="B269" s="380"/>
      <c r="C269" s="195" t="s">
        <v>1191</v>
      </c>
      <c r="D269" s="196">
        <v>0.08</v>
      </c>
      <c r="E269" s="201">
        <v>53019</v>
      </c>
      <c r="F269" s="198">
        <v>0.10845</v>
      </c>
    </row>
    <row r="270" spans="1:10" ht="14.65" customHeight="1">
      <c r="A270" s="372"/>
      <c r="B270" s="380"/>
      <c r="C270" s="195" t="s">
        <v>1255</v>
      </c>
      <c r="D270" s="196">
        <v>0.105</v>
      </c>
      <c r="E270" s="359" t="s">
        <v>1288</v>
      </c>
      <c r="F270" s="360"/>
    </row>
    <row r="271" spans="1:10" ht="14.65" customHeight="1">
      <c r="A271" s="372"/>
      <c r="B271" s="380"/>
      <c r="C271" s="195" t="s">
        <v>1192</v>
      </c>
      <c r="D271" s="196">
        <v>0.11</v>
      </c>
      <c r="E271" s="359" t="s">
        <v>1288</v>
      </c>
      <c r="F271" s="360"/>
    </row>
    <row r="272" spans="1:10" ht="14.65" customHeight="1">
      <c r="A272" s="372"/>
      <c r="B272" s="380"/>
      <c r="C272" s="326" t="s">
        <v>1274</v>
      </c>
      <c r="D272" s="203">
        <v>0.11</v>
      </c>
      <c r="E272" s="385" t="s">
        <v>1289</v>
      </c>
      <c r="F272" s="386"/>
    </row>
    <row r="273" spans="1:6" ht="15" customHeight="1">
      <c r="A273" s="382" t="s">
        <v>1189</v>
      </c>
      <c r="B273" s="382"/>
      <c r="C273" s="382"/>
      <c r="D273" s="382"/>
      <c r="E273" s="382"/>
      <c r="F273" s="382"/>
    </row>
    <row r="274" spans="1:6" ht="15.4" customHeight="1">
      <c r="A274" s="371" t="s">
        <v>1304</v>
      </c>
      <c r="B274" s="374" t="s">
        <v>1305</v>
      </c>
      <c r="C274" s="195" t="s">
        <v>1197</v>
      </c>
      <c r="D274" s="196">
        <v>7.0000000000000007E-2</v>
      </c>
      <c r="E274" s="201">
        <v>56898.2</v>
      </c>
      <c r="F274" s="198">
        <v>0.11722299999999999</v>
      </c>
    </row>
    <row r="275" spans="1:6" ht="14.65" customHeight="1">
      <c r="A275" s="372"/>
      <c r="B275" s="375"/>
      <c r="C275" s="195" t="s">
        <v>1198</v>
      </c>
      <c r="D275" s="196">
        <v>7.4999999999999997E-2</v>
      </c>
      <c r="E275" s="201">
        <v>82631.100000000006</v>
      </c>
      <c r="F275" s="198">
        <v>0.11645999999999999</v>
      </c>
    </row>
    <row r="276" spans="1:6" ht="14.65" customHeight="1">
      <c r="A276" s="372"/>
      <c r="B276" s="375"/>
      <c r="C276" s="195" t="s">
        <v>1191</v>
      </c>
      <c r="D276" s="196">
        <v>0.08</v>
      </c>
      <c r="E276" s="201">
        <v>60992.4</v>
      </c>
      <c r="F276" s="198">
        <v>0.11498999999999999</v>
      </c>
    </row>
    <row r="277" spans="1:6" ht="14.65" customHeight="1">
      <c r="A277" s="372"/>
      <c r="B277" s="375"/>
      <c r="C277" s="195" t="s">
        <v>1255</v>
      </c>
      <c r="D277" s="196">
        <v>0.105</v>
      </c>
      <c r="E277" s="359" t="s">
        <v>1288</v>
      </c>
      <c r="F277" s="360"/>
    </row>
    <row r="278" spans="1:6" ht="14.65" customHeight="1">
      <c r="A278" s="372"/>
      <c r="B278" s="375"/>
      <c r="C278" s="195" t="s">
        <v>1192</v>
      </c>
      <c r="D278" s="196">
        <v>0.11</v>
      </c>
      <c r="E278" s="359" t="s">
        <v>1288</v>
      </c>
      <c r="F278" s="360"/>
    </row>
    <row r="279" spans="1:6" ht="14.65" customHeight="1">
      <c r="A279" s="373"/>
      <c r="B279" s="376"/>
      <c r="C279" s="195" t="s">
        <v>1274</v>
      </c>
      <c r="D279" s="196">
        <v>0.11</v>
      </c>
      <c r="E279" s="377" t="s">
        <v>1289</v>
      </c>
      <c r="F279" s="378"/>
    </row>
    <row r="280" spans="1:6" ht="14.65" customHeight="1">
      <c r="A280" s="356"/>
      <c r="B280" s="356"/>
      <c r="C280" s="356"/>
      <c r="D280" s="356"/>
      <c r="E280" s="356"/>
      <c r="F280" s="356"/>
    </row>
    <row r="281" spans="1:6" ht="14.65" customHeight="1">
      <c r="A281" s="371" t="s">
        <v>1306</v>
      </c>
      <c r="B281" s="374" t="s">
        <v>1307</v>
      </c>
      <c r="C281" s="195" t="s">
        <v>1197</v>
      </c>
      <c r="D281" s="196">
        <v>7.0000000000000007E-2</v>
      </c>
      <c r="E281" s="201">
        <v>28232</v>
      </c>
      <c r="F281" s="198">
        <v>0.13219700000000001</v>
      </c>
    </row>
    <row r="282" spans="1:6" ht="14.65" customHeight="1">
      <c r="A282" s="372"/>
      <c r="B282" s="375"/>
      <c r="C282" s="195" t="s">
        <v>1198</v>
      </c>
      <c r="D282" s="196">
        <v>7.4999999999999997E-2</v>
      </c>
      <c r="E282" s="201">
        <v>70854.8</v>
      </c>
      <c r="F282" s="198">
        <v>0.126918</v>
      </c>
    </row>
    <row r="283" spans="1:6" ht="14.65" customHeight="1">
      <c r="A283" s="372"/>
      <c r="B283" s="375"/>
      <c r="C283" s="195" t="s">
        <v>1191</v>
      </c>
      <c r="D283" s="196">
        <v>0.08</v>
      </c>
      <c r="E283" s="201">
        <v>288391.3</v>
      </c>
      <c r="F283" s="198">
        <v>0.130576</v>
      </c>
    </row>
    <row r="284" spans="1:6" ht="14.65" customHeight="1">
      <c r="A284" s="372"/>
      <c r="B284" s="375"/>
      <c r="C284" s="195" t="s">
        <v>1255</v>
      </c>
      <c r="D284" s="196">
        <v>0.105</v>
      </c>
      <c r="E284" s="377" t="s">
        <v>1289</v>
      </c>
      <c r="F284" s="378"/>
    </row>
    <row r="285" spans="1:6" ht="14.65" customHeight="1">
      <c r="A285" s="372"/>
      <c r="B285" s="375"/>
      <c r="C285" s="195" t="s">
        <v>1192</v>
      </c>
      <c r="D285" s="196">
        <v>0.11</v>
      </c>
      <c r="E285" s="377" t="s">
        <v>1289</v>
      </c>
      <c r="F285" s="378"/>
    </row>
    <row r="286" spans="1:6" ht="14.65" customHeight="1">
      <c r="A286" s="373"/>
      <c r="B286" s="376"/>
      <c r="C286" s="195" t="s">
        <v>1274</v>
      </c>
      <c r="D286" s="196">
        <v>0.11</v>
      </c>
      <c r="E286" s="377" t="s">
        <v>1289</v>
      </c>
      <c r="F286" s="378"/>
    </row>
    <row r="287" spans="1:6" ht="14.65" customHeight="1">
      <c r="A287" s="356"/>
      <c r="B287" s="356"/>
      <c r="C287" s="356"/>
      <c r="D287" s="356"/>
      <c r="E287" s="356"/>
      <c r="F287" s="356"/>
    </row>
    <row r="288" spans="1:6" ht="14.65" customHeight="1">
      <c r="A288" s="371" t="s">
        <v>1308</v>
      </c>
      <c r="B288" s="374" t="s">
        <v>1309</v>
      </c>
      <c r="C288" s="195" t="s">
        <v>1197</v>
      </c>
      <c r="D288" s="196">
        <v>7.0000000000000007E-2</v>
      </c>
      <c r="E288" s="201">
        <v>26994.7</v>
      </c>
      <c r="F288" s="198">
        <v>0.13953399999999999</v>
      </c>
    </row>
    <row r="289" spans="1:6" ht="14.65" customHeight="1">
      <c r="A289" s="372"/>
      <c r="B289" s="375"/>
      <c r="C289" s="195" t="s">
        <v>1198</v>
      </c>
      <c r="D289" s="196">
        <v>7.4999999999999997E-2</v>
      </c>
      <c r="E289" s="201">
        <v>70776.100000000006</v>
      </c>
      <c r="F289" s="198">
        <v>0.130407</v>
      </c>
    </row>
    <row r="290" spans="1:6" ht="14.65" customHeight="1">
      <c r="A290" s="372"/>
      <c r="B290" s="375"/>
      <c r="C290" s="195" t="s">
        <v>1191</v>
      </c>
      <c r="D290" s="196">
        <v>0.08</v>
      </c>
      <c r="E290" s="359" t="s">
        <v>1288</v>
      </c>
      <c r="F290" s="360"/>
    </row>
    <row r="291" spans="1:6" ht="14.65" customHeight="1">
      <c r="A291" s="372"/>
      <c r="B291" s="375"/>
      <c r="C291" s="195" t="s">
        <v>1255</v>
      </c>
      <c r="D291" s="196">
        <v>0.105</v>
      </c>
      <c r="E291" s="359" t="s">
        <v>1288</v>
      </c>
      <c r="F291" s="360"/>
    </row>
    <row r="292" spans="1:6" ht="14.65" customHeight="1">
      <c r="A292" s="372"/>
      <c r="B292" s="375"/>
      <c r="C292" s="195" t="s">
        <v>1192</v>
      </c>
      <c r="D292" s="196">
        <v>0.11</v>
      </c>
      <c r="E292" s="377" t="s">
        <v>1289</v>
      </c>
      <c r="F292" s="378"/>
    </row>
    <row r="293" spans="1:6" ht="14.65" customHeight="1">
      <c r="A293" s="373"/>
      <c r="B293" s="376"/>
      <c r="C293" s="195" t="s">
        <v>1274</v>
      </c>
      <c r="D293" s="196">
        <v>0.11</v>
      </c>
      <c r="E293" s="377" t="s">
        <v>1289</v>
      </c>
      <c r="F293" s="378"/>
    </row>
    <row r="294" spans="1:6" ht="14.65" customHeight="1">
      <c r="A294" s="356"/>
      <c r="B294" s="356"/>
      <c r="C294" s="356"/>
      <c r="D294" s="356"/>
      <c r="E294" s="356"/>
      <c r="F294" s="356"/>
    </row>
    <row r="295" spans="1:6" ht="14.65" customHeight="1">
      <c r="A295" s="371" t="s">
        <v>1310</v>
      </c>
      <c r="B295" s="374" t="s">
        <v>1311</v>
      </c>
      <c r="C295" s="195" t="s">
        <v>1197</v>
      </c>
      <c r="D295" s="196">
        <v>7.0000000000000007E-2</v>
      </c>
      <c r="E295" s="201">
        <v>10360.700000000001</v>
      </c>
      <c r="F295" s="198">
        <v>0.13955000000000001</v>
      </c>
    </row>
    <row r="296" spans="1:6" ht="14.65" customHeight="1">
      <c r="A296" s="372"/>
      <c r="B296" s="375"/>
      <c r="C296" s="195" t="s">
        <v>1198</v>
      </c>
      <c r="D296" s="196">
        <v>7.4999999999999997E-2</v>
      </c>
      <c r="E296" s="201">
        <v>112942.9</v>
      </c>
      <c r="F296" s="198">
        <v>0.13073100000000001</v>
      </c>
    </row>
    <row r="297" spans="1:6" ht="14.65" customHeight="1">
      <c r="A297" s="372"/>
      <c r="B297" s="375"/>
      <c r="C297" s="195" t="s">
        <v>1191</v>
      </c>
      <c r="D297" s="196">
        <v>0.08</v>
      </c>
      <c r="E297" s="201">
        <v>49367.9</v>
      </c>
      <c r="F297" s="198">
        <v>0.130325</v>
      </c>
    </row>
    <row r="298" spans="1:6" ht="14.65" customHeight="1">
      <c r="A298" s="372"/>
      <c r="B298" s="375"/>
      <c r="C298" s="195" t="s">
        <v>1255</v>
      </c>
      <c r="D298" s="196">
        <v>0.105</v>
      </c>
      <c r="E298" s="359" t="s">
        <v>1288</v>
      </c>
      <c r="F298" s="360"/>
    </row>
    <row r="299" spans="1:6" ht="14.65" customHeight="1">
      <c r="A299" s="372"/>
      <c r="B299" s="375"/>
      <c r="C299" s="195" t="s">
        <v>1192</v>
      </c>
      <c r="D299" s="196">
        <v>0.11</v>
      </c>
      <c r="E299" s="377" t="s">
        <v>1289</v>
      </c>
      <c r="F299" s="378"/>
    </row>
    <row r="300" spans="1:6" ht="14.65" customHeight="1">
      <c r="A300" s="373"/>
      <c r="B300" s="376"/>
      <c r="C300" s="195" t="s">
        <v>1274</v>
      </c>
      <c r="D300" s="196">
        <v>0.11</v>
      </c>
      <c r="E300" s="377" t="s">
        <v>1289</v>
      </c>
      <c r="F300" s="378"/>
    </row>
    <row r="301" spans="1:6" ht="14.65" customHeight="1">
      <c r="A301" s="356"/>
      <c r="B301" s="356"/>
      <c r="C301" s="356"/>
      <c r="D301" s="356"/>
      <c r="E301" s="356"/>
      <c r="F301" s="356"/>
    </row>
    <row r="302" spans="1:6" ht="14.65" customHeight="1">
      <c r="A302" s="371" t="s">
        <v>1312</v>
      </c>
      <c r="B302" s="374" t="s">
        <v>1313</v>
      </c>
      <c r="C302" s="195" t="s">
        <v>1197</v>
      </c>
      <c r="D302" s="196">
        <v>7.0000000000000007E-2</v>
      </c>
      <c r="E302" s="201">
        <v>13081.2</v>
      </c>
      <c r="F302" s="198">
        <v>0.139957</v>
      </c>
    </row>
    <row r="303" spans="1:6" ht="14.65" customHeight="1">
      <c r="A303" s="372"/>
      <c r="B303" s="375"/>
      <c r="C303" s="195" t="s">
        <v>1198</v>
      </c>
      <c r="D303" s="196">
        <v>7.4999999999999997E-2</v>
      </c>
      <c r="E303" s="201">
        <v>132176.9</v>
      </c>
      <c r="F303" s="198">
        <v>0.13336400000000001</v>
      </c>
    </row>
    <row r="304" spans="1:6" ht="14.65" customHeight="1">
      <c r="A304" s="372"/>
      <c r="B304" s="375"/>
      <c r="C304" s="195" t="s">
        <v>1191</v>
      </c>
      <c r="D304" s="196">
        <v>0.08</v>
      </c>
      <c r="E304" s="359" t="s">
        <v>1288</v>
      </c>
      <c r="F304" s="360"/>
    </row>
    <row r="305" spans="1:6" ht="14.65" customHeight="1">
      <c r="A305" s="372"/>
      <c r="B305" s="375"/>
      <c r="C305" s="195" t="s">
        <v>1255</v>
      </c>
      <c r="D305" s="196">
        <v>0.105</v>
      </c>
      <c r="E305" s="359" t="s">
        <v>1288</v>
      </c>
      <c r="F305" s="360"/>
    </row>
    <row r="306" spans="1:6" ht="14.65" customHeight="1">
      <c r="A306" s="372"/>
      <c r="B306" s="375"/>
      <c r="C306" s="195" t="s">
        <v>1192</v>
      </c>
      <c r="D306" s="196">
        <v>0.11</v>
      </c>
      <c r="E306" s="377" t="s">
        <v>1289</v>
      </c>
      <c r="F306" s="378"/>
    </row>
    <row r="307" spans="1:6" ht="18" customHeight="1">
      <c r="A307" s="373"/>
      <c r="B307" s="376"/>
      <c r="C307" s="195" t="s">
        <v>1274</v>
      </c>
      <c r="D307" s="196">
        <v>0.11</v>
      </c>
      <c r="E307" s="377" t="s">
        <v>1289</v>
      </c>
      <c r="F307" s="378"/>
    </row>
    <row r="308" spans="1:6" ht="14.65" customHeight="1">
      <c r="A308" s="356"/>
      <c r="B308" s="356"/>
      <c r="C308" s="356"/>
      <c r="D308" s="356"/>
      <c r="E308" s="356"/>
      <c r="F308" s="356"/>
    </row>
    <row r="309" spans="1:6" ht="14.65" customHeight="1">
      <c r="A309" s="371" t="s">
        <v>1314</v>
      </c>
      <c r="B309" s="398" t="s">
        <v>1315</v>
      </c>
      <c r="C309" s="195" t="s">
        <v>1197</v>
      </c>
      <c r="D309" s="196">
        <v>0.1</v>
      </c>
      <c r="E309" s="201">
        <v>94828.1</v>
      </c>
      <c r="F309" s="198">
        <v>0.13872799999999999</v>
      </c>
    </row>
    <row r="310" spans="1:6" ht="14.65" customHeight="1">
      <c r="A310" s="372"/>
      <c r="B310" s="399"/>
      <c r="C310" s="195" t="s">
        <v>1198</v>
      </c>
      <c r="D310" s="196">
        <v>7.4999999999999997E-2</v>
      </c>
      <c r="E310" s="201">
        <v>205420.6</v>
      </c>
      <c r="F310" s="198">
        <v>0.133607</v>
      </c>
    </row>
    <row r="311" spans="1:6" ht="14.65" customHeight="1">
      <c r="A311" s="372"/>
      <c r="B311" s="399"/>
      <c r="C311" s="195" t="s">
        <v>1191</v>
      </c>
      <c r="D311" s="196">
        <v>0.08</v>
      </c>
      <c r="E311" s="359" t="s">
        <v>1288</v>
      </c>
      <c r="F311" s="360"/>
    </row>
    <row r="312" spans="1:6" ht="14.65" customHeight="1">
      <c r="A312" s="372"/>
      <c r="B312" s="399"/>
      <c r="C312" s="326" t="s">
        <v>1255</v>
      </c>
      <c r="D312" s="203">
        <v>0.105</v>
      </c>
      <c r="E312" s="385" t="s">
        <v>1289</v>
      </c>
      <c r="F312" s="386"/>
    </row>
    <row r="313" spans="1:6" ht="14.65" customHeight="1">
      <c r="A313" s="382" t="s">
        <v>1189</v>
      </c>
      <c r="B313" s="382"/>
      <c r="C313" s="382"/>
      <c r="D313" s="382"/>
      <c r="E313" s="382"/>
      <c r="F313" s="382"/>
    </row>
    <row r="314" spans="1:6" ht="15.75" customHeight="1">
      <c r="A314" s="395" t="s">
        <v>1316</v>
      </c>
      <c r="B314" s="391"/>
      <c r="C314" s="195" t="s">
        <v>1192</v>
      </c>
      <c r="D314" s="196">
        <v>0.11</v>
      </c>
      <c r="E314" s="377" t="s">
        <v>1289</v>
      </c>
      <c r="F314" s="378"/>
    </row>
    <row r="315" spans="1:6" ht="14.65" customHeight="1">
      <c r="A315" s="396"/>
      <c r="B315" s="397"/>
      <c r="C315" s="195" t="s">
        <v>1274</v>
      </c>
      <c r="D315" s="196">
        <v>0.11</v>
      </c>
      <c r="E315" s="377" t="s">
        <v>1289</v>
      </c>
      <c r="F315" s="378"/>
    </row>
    <row r="316" spans="1:6" ht="14.65" customHeight="1">
      <c r="A316" s="356"/>
      <c r="B316" s="356"/>
      <c r="C316" s="356"/>
      <c r="D316" s="356"/>
      <c r="E316" s="356"/>
      <c r="F316" s="356"/>
    </row>
    <row r="317" spans="1:6" ht="14.65" customHeight="1">
      <c r="A317" s="371" t="s">
        <v>1317</v>
      </c>
      <c r="B317" s="383" t="s">
        <v>1318</v>
      </c>
      <c r="C317" s="195" t="s">
        <v>1197</v>
      </c>
      <c r="D317" s="196">
        <v>0.1</v>
      </c>
      <c r="E317" s="201">
        <v>34243.800000000003</v>
      </c>
      <c r="F317" s="198">
        <v>0.138936</v>
      </c>
    </row>
    <row r="318" spans="1:6" ht="14.65" customHeight="1">
      <c r="A318" s="372"/>
      <c r="B318" s="384"/>
      <c r="C318" s="195" t="s">
        <v>1198</v>
      </c>
      <c r="D318" s="196">
        <v>7.4999999999999997E-2</v>
      </c>
      <c r="E318" s="201">
        <v>192990.9</v>
      </c>
      <c r="F318" s="198">
        <v>0.133076</v>
      </c>
    </row>
    <row r="319" spans="1:6" ht="14.65" customHeight="1">
      <c r="A319" s="372"/>
      <c r="B319" s="384"/>
      <c r="C319" s="195" t="s">
        <v>1191</v>
      </c>
      <c r="D319" s="196">
        <v>0.08</v>
      </c>
      <c r="E319" s="201">
        <v>14294</v>
      </c>
      <c r="F319" s="198">
        <v>0.12919700000000001</v>
      </c>
    </row>
    <row r="320" spans="1:6" ht="14.65" customHeight="1">
      <c r="A320" s="372"/>
      <c r="B320" s="384"/>
      <c r="C320" s="195" t="s">
        <v>1255</v>
      </c>
      <c r="D320" s="196">
        <v>0.105</v>
      </c>
      <c r="E320" s="377" t="s">
        <v>1289</v>
      </c>
      <c r="F320" s="378"/>
    </row>
    <row r="321" spans="1:6" ht="14.65" customHeight="1">
      <c r="A321" s="372"/>
      <c r="B321" s="384"/>
      <c r="C321" s="195" t="s">
        <v>1192</v>
      </c>
      <c r="D321" s="196">
        <v>0.11</v>
      </c>
      <c r="E321" s="377" t="s">
        <v>1289</v>
      </c>
      <c r="F321" s="378"/>
    </row>
    <row r="322" spans="1:6" ht="14.65" customHeight="1">
      <c r="A322" s="373"/>
      <c r="B322" s="387"/>
      <c r="C322" s="195" t="s">
        <v>1274</v>
      </c>
      <c r="D322" s="196">
        <v>0.11</v>
      </c>
      <c r="E322" s="377" t="s">
        <v>1289</v>
      </c>
      <c r="F322" s="378"/>
    </row>
    <row r="323" spans="1:6" ht="14.65" customHeight="1">
      <c r="A323" s="328"/>
      <c r="B323" s="327"/>
      <c r="C323" s="195"/>
      <c r="D323" s="196"/>
      <c r="E323" s="329"/>
      <c r="F323" s="330"/>
    </row>
    <row r="324" spans="1:6" ht="14.65" customHeight="1">
      <c r="A324" s="371" t="s">
        <v>1319</v>
      </c>
      <c r="B324" s="379" t="s">
        <v>1320</v>
      </c>
      <c r="C324" s="195" t="s">
        <v>1197</v>
      </c>
      <c r="D324" s="196">
        <v>0.1</v>
      </c>
      <c r="E324" s="201">
        <v>96329.9</v>
      </c>
      <c r="F324" s="198">
        <v>0.13763300000000001</v>
      </c>
    </row>
    <row r="325" spans="1:6" ht="14.65" customHeight="1">
      <c r="A325" s="372"/>
      <c r="B325" s="380"/>
      <c r="C325" s="195" t="s">
        <v>1198</v>
      </c>
      <c r="D325" s="196">
        <v>0.105</v>
      </c>
      <c r="E325" s="201">
        <v>131872.6</v>
      </c>
      <c r="F325" s="198">
        <v>0.13056799999999999</v>
      </c>
    </row>
    <row r="326" spans="1:6" ht="14.65" customHeight="1">
      <c r="A326" s="372"/>
      <c r="B326" s="380"/>
      <c r="C326" s="195" t="s">
        <v>1191</v>
      </c>
      <c r="D326" s="196">
        <v>0.08</v>
      </c>
      <c r="E326" s="359" t="s">
        <v>1288</v>
      </c>
      <c r="F326" s="360"/>
    </row>
    <row r="327" spans="1:6" ht="14.65" customHeight="1">
      <c r="A327" s="372"/>
      <c r="B327" s="380"/>
      <c r="C327" s="195" t="s">
        <v>1255</v>
      </c>
      <c r="D327" s="196">
        <v>0.105</v>
      </c>
      <c r="E327" s="377" t="s">
        <v>1289</v>
      </c>
      <c r="F327" s="378"/>
    </row>
    <row r="328" spans="1:6" ht="14.65" customHeight="1">
      <c r="A328" s="372"/>
      <c r="B328" s="380"/>
      <c r="C328" s="195" t="s">
        <v>1192</v>
      </c>
      <c r="D328" s="196">
        <v>0.11</v>
      </c>
      <c r="E328" s="377" t="s">
        <v>1289</v>
      </c>
      <c r="F328" s="378"/>
    </row>
    <row r="329" spans="1:6" ht="14.65" customHeight="1">
      <c r="A329" s="373"/>
      <c r="B329" s="381"/>
      <c r="C329" s="195" t="s">
        <v>1274</v>
      </c>
      <c r="D329" s="196">
        <v>0.11</v>
      </c>
      <c r="E329" s="377" t="s">
        <v>1289</v>
      </c>
      <c r="F329" s="378"/>
    </row>
    <row r="330" spans="1:6" ht="14.65" customHeight="1">
      <c r="A330" s="356"/>
      <c r="B330" s="356"/>
      <c r="C330" s="356"/>
      <c r="D330" s="356"/>
      <c r="E330" s="356"/>
      <c r="F330" s="356"/>
    </row>
    <row r="331" spans="1:6" ht="14.65" customHeight="1">
      <c r="A331" s="371" t="s">
        <v>1321</v>
      </c>
      <c r="B331" s="383" t="s">
        <v>1322</v>
      </c>
      <c r="C331" s="195" t="s">
        <v>1197</v>
      </c>
      <c r="D331" s="196">
        <v>0.1</v>
      </c>
      <c r="E331" s="359" t="s">
        <v>1288</v>
      </c>
      <c r="F331" s="360"/>
    </row>
    <row r="332" spans="1:6" ht="14.65" customHeight="1">
      <c r="A332" s="372"/>
      <c r="B332" s="384"/>
      <c r="C332" s="195" t="s">
        <v>1198</v>
      </c>
      <c r="D332" s="196">
        <v>0.105</v>
      </c>
      <c r="E332" s="201">
        <v>27344.5</v>
      </c>
      <c r="F332" s="198">
        <v>0.13317499999999999</v>
      </c>
    </row>
    <row r="333" spans="1:6" ht="14.65" customHeight="1">
      <c r="A333" s="372"/>
      <c r="B333" s="384"/>
      <c r="C333" s="195" t="s">
        <v>1191</v>
      </c>
      <c r="D333" s="196">
        <v>0.11</v>
      </c>
      <c r="E333" s="359" t="s">
        <v>1288</v>
      </c>
      <c r="F333" s="360"/>
    </row>
    <row r="334" spans="1:6" ht="14.65" customHeight="1">
      <c r="A334" s="372"/>
      <c r="B334" s="384"/>
      <c r="C334" s="195" t="s">
        <v>1255</v>
      </c>
      <c r="D334" s="196">
        <v>0.105</v>
      </c>
      <c r="E334" s="377" t="s">
        <v>1289</v>
      </c>
      <c r="F334" s="378"/>
    </row>
    <row r="335" spans="1:6" ht="14.65" customHeight="1">
      <c r="A335" s="372"/>
      <c r="B335" s="384"/>
      <c r="C335" s="195" t="s">
        <v>1192</v>
      </c>
      <c r="D335" s="196">
        <v>0.11</v>
      </c>
      <c r="E335" s="377" t="s">
        <v>1289</v>
      </c>
      <c r="F335" s="378"/>
    </row>
    <row r="336" spans="1:6" ht="14.65" customHeight="1">
      <c r="A336" s="373"/>
      <c r="B336" s="387"/>
      <c r="C336" s="195" t="s">
        <v>1274</v>
      </c>
      <c r="D336" s="196">
        <v>0.11</v>
      </c>
      <c r="E336" s="377" t="s">
        <v>1289</v>
      </c>
      <c r="F336" s="378"/>
    </row>
    <row r="337" spans="1:10" ht="14.65" customHeight="1">
      <c r="A337" s="356"/>
      <c r="B337" s="356"/>
      <c r="C337" s="356"/>
      <c r="D337" s="356"/>
      <c r="E337" s="356"/>
      <c r="F337" s="356"/>
      <c r="H337" s="193">
        <v>2022</v>
      </c>
      <c r="I337" s="193" t="s">
        <v>1233</v>
      </c>
      <c r="J337" s="193" t="s">
        <v>1234</v>
      </c>
    </row>
    <row r="338" spans="1:10" ht="14.65" customHeight="1">
      <c r="A338" s="371" t="s">
        <v>1323</v>
      </c>
      <c r="B338" s="383" t="s">
        <v>1324</v>
      </c>
      <c r="C338" s="195" t="s">
        <v>1197</v>
      </c>
      <c r="D338" s="196">
        <v>0.1</v>
      </c>
      <c r="E338" s="359" t="s">
        <v>1288</v>
      </c>
      <c r="F338" s="360"/>
      <c r="H338" s="193" t="s">
        <v>1235</v>
      </c>
      <c r="I338" s="235" t="str" cm="1">
        <f t="array" ref="I338">IFERROR(
  AVERAGE(
    _xlfn._xlws.FILTER(
      $F$260:$F$343,
      ($C$260:$C$343 = H338) * ($F$260:$F$343 &gt; 0)
    )
  ),
  "No matches"
)</f>
        <v>No matches</v>
      </c>
      <c r="J338" s="235" t="str" cm="1">
        <f t="array" ref="J338">IFERROR(
  AVERAGE(
    _xlfn._xlws.FILTER(
      $D$260:$D$343,
      ($C$260:$C$343 = H338) * ($D$260:$D$343 &gt; 0)
    )
  ),
  "Zero"
)</f>
        <v>Zero</v>
      </c>
    </row>
    <row r="339" spans="1:10" ht="14.65" customHeight="1">
      <c r="A339" s="372"/>
      <c r="B339" s="384"/>
      <c r="C339" s="195" t="s">
        <v>1198</v>
      </c>
      <c r="D339" s="196">
        <v>0.105</v>
      </c>
      <c r="E339" s="359" t="s">
        <v>1288</v>
      </c>
      <c r="F339" s="360"/>
      <c r="H339" s="193" t="s">
        <v>1238</v>
      </c>
      <c r="I339" s="235" cm="1">
        <f t="array" ref="I339">IFERROR(
  AVERAGE(
    _xlfn._xlws.FILTER(
      $F$260:$F$343,
      ($C$260:$C$343 = H339) * ($F$260:$F$343 &gt; 0)
    )
  ),
  "No matches"
)</f>
        <v>0.12980010000000003</v>
      </c>
      <c r="J339" s="235" cm="1">
        <f t="array" ref="J339">IFERROR(
  AVERAGE(
    _xlfn._xlws.FILTER(
      $D$260:$D$343,
      ($C$260:$C$343 = H339) * ($D$260:$D$343 &gt; 0)
    )
  ),
  "Zero"
)</f>
        <v>8.2500000000000004E-2</v>
      </c>
    </row>
    <row r="340" spans="1:10" ht="14.65" customHeight="1">
      <c r="A340" s="372"/>
      <c r="B340" s="384"/>
      <c r="C340" s="195" t="s">
        <v>1191</v>
      </c>
      <c r="D340" s="196">
        <v>0.11</v>
      </c>
      <c r="E340" s="359" t="s">
        <v>1288</v>
      </c>
      <c r="F340" s="360"/>
      <c r="H340" s="193" t="s">
        <v>1239</v>
      </c>
      <c r="I340" s="235" cm="1">
        <f t="array" ref="I340">IFERROR(
  AVERAGE(
    _xlfn._xlws.FILTER(
      $F$260:$F$343,
      ($C$260:$C$343 = H340) * ($F$260:$F$343 &gt; 0)
    )
  ),
  "No matches"
)</f>
        <v>0.12577781818181821</v>
      </c>
      <c r="J340" s="235" cm="1">
        <f t="array" ref="J340">IFERROR(
  AVERAGE(
    _xlfn._xlws.FILTER(
      $D$260:$D$343,
      ($C$260:$C$343 = H340) * ($D$260:$D$343 &gt; 0)
    )
  ),
  "Zero"
)</f>
        <v>8.249999999999999E-2</v>
      </c>
    </row>
    <row r="341" spans="1:10" ht="14.65" customHeight="1">
      <c r="A341" s="372"/>
      <c r="B341" s="384"/>
      <c r="C341" s="195" t="s">
        <v>1255</v>
      </c>
      <c r="D341" s="196">
        <v>0.105</v>
      </c>
      <c r="E341" s="377" t="s">
        <v>1289</v>
      </c>
      <c r="F341" s="378"/>
      <c r="H341" s="193" t="s">
        <v>1240</v>
      </c>
      <c r="I341" s="235" cm="1">
        <f t="array" ref="I341">IFERROR(
  AVERAGE(
    _xlfn._xlws.FILTER(
      $F$260:$F$343,
      ($C$260:$C$343 = H341) * ($F$260:$F$343 &gt; 0)
    )
  ),
  "No matches"
)</f>
        <v>0.120473</v>
      </c>
      <c r="J341" s="235" cm="1">
        <f t="array" ref="J341">IFERROR(
  AVERAGE(
    _xlfn._xlws.FILTER(
      $D$260:$D$343,
      ($C$260:$C$343 = H341) * ($D$260:$D$343 &gt; 0)
    )
  ),
  "Zero"
)</f>
        <v>8.5000000000000006E-2</v>
      </c>
    </row>
    <row r="342" spans="1:10" ht="14.65" customHeight="1">
      <c r="A342" s="372"/>
      <c r="B342" s="384"/>
      <c r="C342" s="195" t="s">
        <v>1192</v>
      </c>
      <c r="D342" s="196">
        <v>0.11</v>
      </c>
      <c r="E342" s="377" t="s">
        <v>1289</v>
      </c>
      <c r="F342" s="378"/>
      <c r="H342" s="193" t="s">
        <v>1242</v>
      </c>
      <c r="I342" s="235" t="str" cm="1">
        <f t="array" ref="I342">IFERROR(
  AVERAGE(
    _xlfn._xlws.FILTER(
      $F$260:$F$343,
      ($C$260:$C$343 = H342) * ($F$260:$F$343 &gt; 0)
    )
  ),
  "No matches"
)</f>
        <v>No matches</v>
      </c>
      <c r="J342" s="235" cm="1">
        <f t="array" ref="J342">IFERROR(
  AVERAGE(
    _xlfn._xlws.FILTER(
      $D$260:$D$343,
      ($C$260:$C$343 = H342) * ($D$260:$D$343 &gt; 0)
    )
  ),
  "Zero"
)</f>
        <v>0.105</v>
      </c>
    </row>
    <row r="343" spans="1:10" ht="14.65" customHeight="1">
      <c r="A343" s="373"/>
      <c r="B343" s="387"/>
      <c r="C343" s="195" t="s">
        <v>1274</v>
      </c>
      <c r="D343" s="196">
        <v>0.11</v>
      </c>
      <c r="E343" s="377" t="s">
        <v>1289</v>
      </c>
      <c r="F343" s="378"/>
      <c r="H343" s="193" t="s">
        <v>1243</v>
      </c>
      <c r="I343" s="235" t="str" cm="1">
        <f t="array" ref="I343">IFERROR(
  AVERAGE(
    _xlfn._xlws.FILTER(
      $F$260:$F$343,
      ($C$260:$C$343 = H343) * ($F$260:$F$343 &gt; 0)
    )
  ),
  "No matches"
)</f>
        <v>No matches</v>
      </c>
      <c r="J343" s="235" cm="1">
        <f t="array" ref="J343">IFERROR(
  AVERAGE(
    _xlfn._xlws.FILTER(
      $D$260:$D$343,
      ($C$260:$C$343 = H343) * ($D$260:$D$343 &gt; 0)
    )
  ),
  "Zero"
)</f>
        <v>0.11000000000000003</v>
      </c>
    </row>
    <row r="344" spans="1:10" ht="14.65" customHeight="1">
      <c r="A344" s="356"/>
      <c r="B344" s="356"/>
      <c r="C344" s="356"/>
      <c r="D344" s="356"/>
      <c r="E344" s="356"/>
      <c r="F344" s="356"/>
      <c r="H344" s="459" t="s">
        <v>1246</v>
      </c>
      <c r="I344" s="235" t="str" cm="1">
        <f t="array" ref="I344">IFERROR(
  AVERAGE(
    _xlfn._xlws.FILTER(
      $F$260:$F$343,
      ($C$260:$C$343 = H344) * ($F$260:$F$343 &gt; 0)
    )
  ),
  "No matches"
)</f>
        <v>No matches</v>
      </c>
      <c r="J344" s="235" cm="1">
        <f t="array" ref="J344">IFERROR(
  AVERAGE(
    _xlfn._xlws.FILTER(
      $D$260:$D$343,
      ($C$260:$C$343 = H344) * ($D$260:$D$343 &gt; 0)
    )
  ),
  "Zero"
)</f>
        <v>0.11000000000000003</v>
      </c>
    </row>
    <row r="345" spans="1:10" ht="14.65" customHeight="1">
      <c r="A345" s="371" t="s">
        <v>1325</v>
      </c>
      <c r="B345" s="379" t="s">
        <v>1326</v>
      </c>
      <c r="C345" s="195" t="s">
        <v>1197</v>
      </c>
      <c r="D345" s="196">
        <v>0.1</v>
      </c>
      <c r="E345" s="359" t="s">
        <v>1288</v>
      </c>
      <c r="F345" s="360"/>
      <c r="I345" s="234">
        <f>AVERAGE(I338:I344)</f>
        <v>0.12535030606060607</v>
      </c>
      <c r="J345" s="234">
        <f>AVERAGE(J338:J344)</f>
        <v>9.583333333333334E-2</v>
      </c>
    </row>
    <row r="346" spans="1:10" ht="14.65" customHeight="1">
      <c r="A346" s="372"/>
      <c r="B346" s="380"/>
      <c r="C346" s="195" t="s">
        <v>1198</v>
      </c>
      <c r="D346" s="196">
        <v>0.105</v>
      </c>
      <c r="E346" s="359" t="s">
        <v>1288</v>
      </c>
      <c r="F346" s="360"/>
    </row>
    <row r="347" spans="1:10" ht="14.65" customHeight="1">
      <c r="A347" s="372"/>
      <c r="B347" s="380"/>
      <c r="C347" s="195" t="s">
        <v>1191</v>
      </c>
      <c r="D347" s="196">
        <v>0.11</v>
      </c>
      <c r="E347" s="359" t="s">
        <v>1288</v>
      </c>
      <c r="F347" s="360"/>
    </row>
    <row r="348" spans="1:10" ht="14.65" customHeight="1">
      <c r="A348" s="372"/>
      <c r="B348" s="380"/>
      <c r="C348" s="195" t="s">
        <v>1255</v>
      </c>
      <c r="D348" s="196">
        <v>0.105</v>
      </c>
      <c r="E348" s="377" t="s">
        <v>1289</v>
      </c>
      <c r="F348" s="378"/>
    </row>
    <row r="349" spans="1:10" ht="14.65" customHeight="1">
      <c r="A349" s="372"/>
      <c r="B349" s="380"/>
      <c r="C349" s="326" t="s">
        <v>1192</v>
      </c>
      <c r="D349" s="203">
        <v>0.11</v>
      </c>
      <c r="E349" s="385" t="s">
        <v>1289</v>
      </c>
      <c r="F349" s="386"/>
    </row>
    <row r="350" spans="1:10" ht="14.65" customHeight="1">
      <c r="A350" s="382" t="s">
        <v>1189</v>
      </c>
      <c r="B350" s="382"/>
      <c r="C350" s="382"/>
      <c r="D350" s="382"/>
      <c r="E350" s="382"/>
      <c r="F350" s="382"/>
    </row>
    <row r="351" spans="1:10" ht="15.75" customHeight="1">
      <c r="A351" s="202"/>
      <c r="B351" s="202"/>
      <c r="C351" s="195" t="s">
        <v>1274</v>
      </c>
      <c r="D351" s="196">
        <v>0.11</v>
      </c>
      <c r="E351" s="377" t="s">
        <v>1289</v>
      </c>
      <c r="F351" s="378"/>
    </row>
    <row r="352" spans="1:10" ht="14.65" customHeight="1">
      <c r="A352" s="356"/>
      <c r="B352" s="356"/>
      <c r="C352" s="356"/>
      <c r="D352" s="356"/>
      <c r="E352" s="356"/>
      <c r="F352" s="356"/>
    </row>
    <row r="353" spans="1:6" ht="14.65" customHeight="1">
      <c r="A353" s="371" t="s">
        <v>1327</v>
      </c>
      <c r="B353" s="379" t="s">
        <v>1328</v>
      </c>
      <c r="C353" s="195" t="s">
        <v>1197</v>
      </c>
      <c r="D353" s="196">
        <v>0.1</v>
      </c>
      <c r="E353" s="359" t="s">
        <v>1288</v>
      </c>
      <c r="F353" s="360"/>
    </row>
    <row r="354" spans="1:6" ht="14.65" customHeight="1">
      <c r="A354" s="372"/>
      <c r="B354" s="380"/>
      <c r="C354" s="195" t="s">
        <v>1198</v>
      </c>
      <c r="D354" s="196">
        <v>0.105</v>
      </c>
      <c r="E354" s="359" t="s">
        <v>1288</v>
      </c>
      <c r="F354" s="360"/>
    </row>
    <row r="355" spans="1:6" ht="14.65" customHeight="1">
      <c r="A355" s="372"/>
      <c r="B355" s="380"/>
      <c r="C355" s="195" t="s">
        <v>1191</v>
      </c>
      <c r="D355" s="196">
        <v>0.11</v>
      </c>
      <c r="E355" s="359" t="s">
        <v>1288</v>
      </c>
      <c r="F355" s="360"/>
    </row>
    <row r="356" spans="1:6" ht="14.65" customHeight="1">
      <c r="A356" s="372"/>
      <c r="B356" s="380"/>
      <c r="C356" s="195" t="s">
        <v>1255</v>
      </c>
      <c r="D356" s="196">
        <v>0.105</v>
      </c>
      <c r="E356" s="377" t="s">
        <v>1289</v>
      </c>
      <c r="F356" s="378"/>
    </row>
    <row r="357" spans="1:6" ht="14.65" customHeight="1">
      <c r="A357" s="372"/>
      <c r="B357" s="380"/>
      <c r="C357" s="195" t="s">
        <v>1192</v>
      </c>
      <c r="D357" s="196">
        <v>0.11</v>
      </c>
      <c r="E357" s="377" t="s">
        <v>1289</v>
      </c>
      <c r="F357" s="378"/>
    </row>
    <row r="358" spans="1:6" ht="14.65" customHeight="1">
      <c r="A358" s="373"/>
      <c r="B358" s="381"/>
      <c r="C358" s="195" t="s">
        <v>1274</v>
      </c>
      <c r="D358" s="196">
        <v>0.11</v>
      </c>
      <c r="E358" s="377" t="s">
        <v>1289</v>
      </c>
      <c r="F358" s="378"/>
    </row>
    <row r="359" spans="1:6" ht="14.65" customHeight="1">
      <c r="A359" s="356"/>
      <c r="B359" s="356"/>
      <c r="C359" s="356"/>
      <c r="D359" s="356"/>
      <c r="E359" s="356"/>
      <c r="F359" s="356"/>
    </row>
    <row r="360" spans="1:6" ht="14.65" customHeight="1">
      <c r="A360" s="371" t="s">
        <v>1329</v>
      </c>
      <c r="B360" s="374" t="s">
        <v>1330</v>
      </c>
      <c r="C360" s="195" t="s">
        <v>1197</v>
      </c>
      <c r="D360" s="196">
        <v>0.1</v>
      </c>
      <c r="E360" s="201">
        <v>26000.1</v>
      </c>
      <c r="F360" s="198">
        <v>0.18049999999999999</v>
      </c>
    </row>
    <row r="361" spans="1:6" ht="14.65" customHeight="1">
      <c r="A361" s="372"/>
      <c r="B361" s="375"/>
      <c r="C361" s="195" t="s">
        <v>1198</v>
      </c>
      <c r="D361" s="196">
        <v>0.105</v>
      </c>
      <c r="E361" s="197">
        <v>350.1</v>
      </c>
      <c r="F361" s="198">
        <v>0.13466600000000001</v>
      </c>
    </row>
    <row r="362" spans="1:6" ht="14.65" customHeight="1">
      <c r="A362" s="372"/>
      <c r="B362" s="375"/>
      <c r="C362" s="195" t="s">
        <v>1191</v>
      </c>
      <c r="D362" s="196">
        <v>0.11</v>
      </c>
      <c r="E362" s="359" t="s">
        <v>1288</v>
      </c>
      <c r="F362" s="360"/>
    </row>
    <row r="363" spans="1:6" ht="14.65" customHeight="1">
      <c r="A363" s="372"/>
      <c r="B363" s="375"/>
      <c r="C363" s="195" t="s">
        <v>1255</v>
      </c>
      <c r="D363" s="196">
        <v>0.105</v>
      </c>
      <c r="E363" s="377" t="s">
        <v>1289</v>
      </c>
      <c r="F363" s="378"/>
    </row>
    <row r="364" spans="1:6" ht="14.65" customHeight="1">
      <c r="A364" s="372"/>
      <c r="B364" s="375"/>
      <c r="C364" s="195" t="s">
        <v>1192</v>
      </c>
      <c r="D364" s="196">
        <v>0.11</v>
      </c>
      <c r="E364" s="377" t="s">
        <v>1289</v>
      </c>
      <c r="F364" s="378"/>
    </row>
    <row r="365" spans="1:6" ht="14.65" customHeight="1">
      <c r="A365" s="373"/>
      <c r="B365" s="376"/>
      <c r="C365" s="195" t="s">
        <v>1274</v>
      </c>
      <c r="D365" s="196">
        <v>0.11</v>
      </c>
      <c r="E365" s="377" t="s">
        <v>1289</v>
      </c>
      <c r="F365" s="378"/>
    </row>
    <row r="366" spans="1:6" ht="14.65" customHeight="1">
      <c r="A366" s="356"/>
      <c r="B366" s="356"/>
      <c r="C366" s="356"/>
      <c r="D366" s="356"/>
      <c r="E366" s="356"/>
      <c r="F366" s="356"/>
    </row>
    <row r="367" spans="1:6" ht="14.65" customHeight="1">
      <c r="A367" s="371" t="s">
        <v>1331</v>
      </c>
      <c r="B367" s="374" t="s">
        <v>1332</v>
      </c>
      <c r="C367" s="195" t="s">
        <v>1197</v>
      </c>
      <c r="D367" s="196">
        <v>0.1</v>
      </c>
      <c r="E367" s="201">
        <v>143741.29999999999</v>
      </c>
      <c r="F367" s="198">
        <v>0.18335399999999999</v>
      </c>
    </row>
    <row r="368" spans="1:6" ht="14.65" customHeight="1">
      <c r="A368" s="372"/>
      <c r="B368" s="375"/>
      <c r="C368" s="195" t="s">
        <v>1198</v>
      </c>
      <c r="D368" s="196">
        <v>0.105</v>
      </c>
      <c r="E368" s="359" t="s">
        <v>1288</v>
      </c>
      <c r="F368" s="360"/>
    </row>
    <row r="369" spans="1:6" ht="14.65" customHeight="1">
      <c r="A369" s="372"/>
      <c r="B369" s="375"/>
      <c r="C369" s="195" t="s">
        <v>1191</v>
      </c>
      <c r="D369" s="196">
        <v>0.11</v>
      </c>
      <c r="E369" s="359" t="s">
        <v>1288</v>
      </c>
      <c r="F369" s="360"/>
    </row>
    <row r="370" spans="1:6" ht="14.65" customHeight="1">
      <c r="A370" s="372"/>
      <c r="B370" s="375"/>
      <c r="C370" s="195" t="s">
        <v>1255</v>
      </c>
      <c r="D370" s="196">
        <v>0.105</v>
      </c>
      <c r="E370" s="377" t="s">
        <v>1289</v>
      </c>
      <c r="F370" s="378"/>
    </row>
    <row r="371" spans="1:6" ht="14.65" customHeight="1">
      <c r="A371" s="372"/>
      <c r="B371" s="375"/>
      <c r="C371" s="195" t="s">
        <v>1192</v>
      </c>
      <c r="D371" s="196">
        <v>0.11</v>
      </c>
      <c r="E371" s="377" t="s">
        <v>1289</v>
      </c>
      <c r="F371" s="378"/>
    </row>
    <row r="372" spans="1:6" ht="14.65" customHeight="1">
      <c r="A372" s="373"/>
      <c r="B372" s="376"/>
      <c r="C372" s="195" t="s">
        <v>1274</v>
      </c>
      <c r="D372" s="196">
        <v>0.11</v>
      </c>
      <c r="E372" s="377" t="s">
        <v>1289</v>
      </c>
      <c r="F372" s="378"/>
    </row>
    <row r="373" spans="1:6" ht="14.65" customHeight="1">
      <c r="A373" s="356"/>
      <c r="B373" s="356"/>
      <c r="C373" s="356"/>
      <c r="D373" s="356"/>
      <c r="E373" s="356"/>
      <c r="F373" s="356"/>
    </row>
    <row r="374" spans="1:6" ht="14.65" customHeight="1">
      <c r="A374" s="371" t="s">
        <v>1333</v>
      </c>
      <c r="B374" s="374" t="s">
        <v>1334</v>
      </c>
      <c r="C374" s="195" t="s">
        <v>1197</v>
      </c>
      <c r="D374" s="196">
        <v>0.1</v>
      </c>
      <c r="E374" s="201">
        <v>62884.800000000003</v>
      </c>
      <c r="F374" s="198">
        <v>0.18920999999999999</v>
      </c>
    </row>
    <row r="375" spans="1:6" ht="14.65" customHeight="1">
      <c r="A375" s="372"/>
      <c r="B375" s="375"/>
      <c r="C375" s="195" t="s">
        <v>1198</v>
      </c>
      <c r="D375" s="196">
        <v>0.105</v>
      </c>
      <c r="E375" s="359" t="s">
        <v>1288</v>
      </c>
      <c r="F375" s="360"/>
    </row>
    <row r="376" spans="1:6" ht="14.65" customHeight="1">
      <c r="A376" s="372"/>
      <c r="B376" s="375"/>
      <c r="C376" s="195" t="s">
        <v>1191</v>
      </c>
      <c r="D376" s="196">
        <v>0.11</v>
      </c>
      <c r="E376" s="359" t="s">
        <v>1288</v>
      </c>
      <c r="F376" s="360"/>
    </row>
    <row r="377" spans="1:6" ht="14.65" customHeight="1">
      <c r="A377" s="372"/>
      <c r="B377" s="375"/>
      <c r="C377" s="195" t="s">
        <v>1255</v>
      </c>
      <c r="D377" s="196">
        <v>0.105</v>
      </c>
      <c r="E377" s="377" t="s">
        <v>1289</v>
      </c>
      <c r="F377" s="378"/>
    </row>
    <row r="378" spans="1:6" ht="14.65" customHeight="1">
      <c r="A378" s="372"/>
      <c r="B378" s="375"/>
      <c r="C378" s="195" t="s">
        <v>1192</v>
      </c>
      <c r="D378" s="196">
        <v>0.11</v>
      </c>
      <c r="E378" s="377" t="s">
        <v>1289</v>
      </c>
      <c r="F378" s="378"/>
    </row>
    <row r="379" spans="1:6" ht="14.65" customHeight="1">
      <c r="A379" s="373"/>
      <c r="B379" s="376"/>
      <c r="C379" s="195" t="s">
        <v>1274</v>
      </c>
      <c r="D379" s="196">
        <v>0.11</v>
      </c>
      <c r="E379" s="377" t="s">
        <v>1289</v>
      </c>
      <c r="F379" s="378"/>
    </row>
    <row r="380" spans="1:6" ht="14.65" customHeight="1">
      <c r="A380" s="356"/>
      <c r="B380" s="356"/>
      <c r="C380" s="356"/>
      <c r="D380" s="356"/>
      <c r="E380" s="356"/>
      <c r="F380" s="356"/>
    </row>
    <row r="381" spans="1:6" ht="14.65" customHeight="1">
      <c r="A381" s="371" t="s">
        <v>1335</v>
      </c>
      <c r="B381" s="374" t="s">
        <v>1336</v>
      </c>
      <c r="C381" s="195" t="s">
        <v>1197</v>
      </c>
      <c r="D381" s="196">
        <v>0.1</v>
      </c>
      <c r="E381" s="201">
        <v>126906.7</v>
      </c>
      <c r="F381" s="198">
        <v>0.19246199999999999</v>
      </c>
    </row>
    <row r="382" spans="1:6" ht="14.65" customHeight="1">
      <c r="A382" s="372"/>
      <c r="B382" s="375"/>
      <c r="C382" s="195" t="s">
        <v>1198</v>
      </c>
      <c r="D382" s="196">
        <v>0.105</v>
      </c>
      <c r="E382" s="359" t="s">
        <v>1288</v>
      </c>
      <c r="F382" s="360"/>
    </row>
    <row r="383" spans="1:6" ht="14.65" customHeight="1">
      <c r="A383" s="372"/>
      <c r="B383" s="375"/>
      <c r="C383" s="195" t="s">
        <v>1191</v>
      </c>
      <c r="D383" s="196">
        <v>0.11</v>
      </c>
      <c r="E383" s="359" t="s">
        <v>1288</v>
      </c>
      <c r="F383" s="360"/>
    </row>
    <row r="384" spans="1:6" ht="14.65" customHeight="1">
      <c r="A384" s="372"/>
      <c r="B384" s="375"/>
      <c r="C384" s="195" t="s">
        <v>1255</v>
      </c>
      <c r="D384" s="196">
        <v>0.105</v>
      </c>
      <c r="E384" s="377" t="s">
        <v>1289</v>
      </c>
      <c r="F384" s="378"/>
    </row>
    <row r="385" spans="1:6" ht="14.65" customHeight="1">
      <c r="A385" s="372"/>
      <c r="B385" s="375"/>
      <c r="C385" s="195" t="s">
        <v>1192</v>
      </c>
      <c r="D385" s="196">
        <v>0.11</v>
      </c>
      <c r="E385" s="377" t="s">
        <v>1289</v>
      </c>
      <c r="F385" s="378"/>
    </row>
    <row r="386" spans="1:6" ht="14.65" customHeight="1">
      <c r="A386" s="373"/>
      <c r="B386" s="376"/>
      <c r="C386" s="195" t="s">
        <v>1274</v>
      </c>
      <c r="D386" s="196">
        <v>0.11</v>
      </c>
      <c r="E386" s="377" t="s">
        <v>1289</v>
      </c>
      <c r="F386" s="378"/>
    </row>
    <row r="387" spans="1:6" ht="14.65" customHeight="1">
      <c r="A387" s="356"/>
      <c r="B387" s="356"/>
      <c r="C387" s="356"/>
      <c r="D387" s="356"/>
      <c r="E387" s="356"/>
      <c r="F387" s="356"/>
    </row>
    <row r="388" spans="1:6" ht="14.65" customHeight="1">
      <c r="A388" s="383" t="s">
        <v>1337</v>
      </c>
      <c r="B388" s="391"/>
      <c r="C388" s="195" t="s">
        <v>1197</v>
      </c>
      <c r="D388" s="196">
        <v>0.12</v>
      </c>
      <c r="E388" s="201">
        <v>105629.5</v>
      </c>
      <c r="F388" s="198">
        <v>0.193499</v>
      </c>
    </row>
    <row r="389" spans="1:6" ht="14.65" customHeight="1">
      <c r="A389" s="384"/>
      <c r="B389" s="392"/>
      <c r="C389" s="326" t="s">
        <v>1198</v>
      </c>
      <c r="D389" s="203">
        <v>0.105</v>
      </c>
      <c r="E389" s="393" t="s">
        <v>1288</v>
      </c>
      <c r="F389" s="394"/>
    </row>
    <row r="390" spans="1:6" ht="14.65" customHeight="1">
      <c r="A390" s="382" t="s">
        <v>1189</v>
      </c>
      <c r="B390" s="382"/>
      <c r="C390" s="382"/>
      <c r="D390" s="382"/>
      <c r="E390" s="382"/>
      <c r="F390" s="382"/>
    </row>
    <row r="391" spans="1:6" ht="15.75" customHeight="1">
      <c r="A391" s="371" t="s">
        <v>1338</v>
      </c>
      <c r="B391" s="388" t="s">
        <v>1339</v>
      </c>
      <c r="C391" s="195" t="s">
        <v>1191</v>
      </c>
      <c r="D391" s="196">
        <v>0.11</v>
      </c>
      <c r="E391" s="359" t="s">
        <v>1288</v>
      </c>
      <c r="F391" s="360"/>
    </row>
    <row r="392" spans="1:6" ht="14.65" customHeight="1">
      <c r="A392" s="372"/>
      <c r="B392" s="389"/>
      <c r="C392" s="195" t="s">
        <v>1255</v>
      </c>
      <c r="D392" s="196">
        <v>0.105</v>
      </c>
      <c r="E392" s="377" t="s">
        <v>1289</v>
      </c>
      <c r="F392" s="378"/>
    </row>
    <row r="393" spans="1:6" ht="14.65" customHeight="1">
      <c r="A393" s="372"/>
      <c r="B393" s="389"/>
      <c r="C393" s="195" t="s">
        <v>1192</v>
      </c>
      <c r="D393" s="196">
        <v>0.11</v>
      </c>
      <c r="E393" s="377" t="s">
        <v>1289</v>
      </c>
      <c r="F393" s="378"/>
    </row>
    <row r="394" spans="1:6" ht="14.65" customHeight="1">
      <c r="A394" s="373"/>
      <c r="B394" s="390"/>
      <c r="C394" s="195" t="s">
        <v>1274</v>
      </c>
      <c r="D394" s="196">
        <v>0.11</v>
      </c>
      <c r="E394" s="377" t="s">
        <v>1289</v>
      </c>
      <c r="F394" s="378"/>
    </row>
    <row r="395" spans="1:6" ht="14.65" customHeight="1">
      <c r="A395" s="356"/>
      <c r="B395" s="356"/>
      <c r="C395" s="356"/>
      <c r="D395" s="356"/>
      <c r="E395" s="356"/>
      <c r="F395" s="356"/>
    </row>
    <row r="396" spans="1:6" ht="14.65" customHeight="1">
      <c r="A396" s="371" t="s">
        <v>1340</v>
      </c>
      <c r="B396" s="374" t="s">
        <v>1341</v>
      </c>
      <c r="C396" s="195" t="s">
        <v>1197</v>
      </c>
      <c r="D396" s="196">
        <v>0.12</v>
      </c>
      <c r="E396" s="201">
        <v>79714.5</v>
      </c>
      <c r="F396" s="198">
        <v>0.193244</v>
      </c>
    </row>
    <row r="397" spans="1:6" ht="14.65" customHeight="1">
      <c r="A397" s="372"/>
      <c r="B397" s="375"/>
      <c r="C397" s="195" t="s">
        <v>1198</v>
      </c>
      <c r="D397" s="196">
        <v>0.105</v>
      </c>
      <c r="E397" s="197">
        <v>105.1</v>
      </c>
      <c r="F397" s="198">
        <v>0.1595</v>
      </c>
    </row>
    <row r="398" spans="1:6" ht="14.65" customHeight="1">
      <c r="A398" s="372"/>
      <c r="B398" s="375"/>
      <c r="C398" s="195" t="s">
        <v>1191</v>
      </c>
      <c r="D398" s="196">
        <v>0.11</v>
      </c>
      <c r="E398" s="359" t="s">
        <v>1288</v>
      </c>
      <c r="F398" s="360"/>
    </row>
    <row r="399" spans="1:6" ht="14.65" customHeight="1">
      <c r="A399" s="372"/>
      <c r="B399" s="375"/>
      <c r="C399" s="195" t="s">
        <v>1255</v>
      </c>
      <c r="D399" s="196">
        <v>0.105</v>
      </c>
      <c r="E399" s="377" t="s">
        <v>1289</v>
      </c>
      <c r="F399" s="378"/>
    </row>
    <row r="400" spans="1:6" ht="14.65" customHeight="1">
      <c r="A400" s="372"/>
      <c r="B400" s="375"/>
      <c r="C400" s="195" t="s">
        <v>1192</v>
      </c>
      <c r="D400" s="196">
        <v>0.11</v>
      </c>
      <c r="E400" s="377" t="s">
        <v>1289</v>
      </c>
      <c r="F400" s="378"/>
    </row>
    <row r="401" spans="1:6" ht="14.65" customHeight="1">
      <c r="A401" s="373"/>
      <c r="B401" s="376"/>
      <c r="C401" s="195" t="s">
        <v>1274</v>
      </c>
      <c r="D401" s="196">
        <v>0.11</v>
      </c>
      <c r="E401" s="377" t="s">
        <v>1289</v>
      </c>
      <c r="F401" s="378"/>
    </row>
    <row r="402" spans="1:6" ht="14.65" customHeight="1">
      <c r="A402" s="356"/>
      <c r="B402" s="356"/>
      <c r="C402" s="356"/>
      <c r="D402" s="356"/>
      <c r="E402" s="356"/>
      <c r="F402" s="356"/>
    </row>
    <row r="403" spans="1:6" ht="14.65" customHeight="1">
      <c r="A403" s="371" t="s">
        <v>1342</v>
      </c>
      <c r="B403" s="383" t="s">
        <v>1343</v>
      </c>
      <c r="C403" s="195" t="s">
        <v>1197</v>
      </c>
      <c r="D403" s="196">
        <v>0.12</v>
      </c>
      <c r="E403" s="201">
        <v>3260.2</v>
      </c>
      <c r="F403" s="198">
        <v>0.19322900000000001</v>
      </c>
    </row>
    <row r="404" spans="1:6" ht="14.65" customHeight="1">
      <c r="A404" s="372"/>
      <c r="B404" s="384"/>
      <c r="C404" s="195" t="s">
        <v>1198</v>
      </c>
      <c r="D404" s="196">
        <v>0.105</v>
      </c>
      <c r="E404" s="197">
        <v>300.10000000000002</v>
      </c>
      <c r="F404" s="198">
        <v>0.16950000000000001</v>
      </c>
    </row>
    <row r="405" spans="1:6" ht="14.65" customHeight="1">
      <c r="A405" s="372"/>
      <c r="B405" s="384"/>
      <c r="C405" s="195" t="s">
        <v>1191</v>
      </c>
      <c r="D405" s="196">
        <v>0.11</v>
      </c>
      <c r="E405" s="197">
        <v>100.5</v>
      </c>
      <c r="F405" s="198">
        <v>0.1525</v>
      </c>
    </row>
    <row r="406" spans="1:6" ht="14.65" customHeight="1">
      <c r="A406" s="372"/>
      <c r="B406" s="384"/>
      <c r="C406" s="195" t="s">
        <v>1255</v>
      </c>
      <c r="D406" s="196">
        <v>0.105</v>
      </c>
      <c r="E406" s="377" t="s">
        <v>1289</v>
      </c>
      <c r="F406" s="378"/>
    </row>
    <row r="407" spans="1:6" ht="14.65" customHeight="1">
      <c r="A407" s="372"/>
      <c r="B407" s="384"/>
      <c r="C407" s="195" t="s">
        <v>1192</v>
      </c>
      <c r="D407" s="196">
        <v>0.11</v>
      </c>
      <c r="E407" s="377" t="s">
        <v>1289</v>
      </c>
      <c r="F407" s="378"/>
    </row>
    <row r="408" spans="1:6" ht="14.65" customHeight="1">
      <c r="A408" s="373"/>
      <c r="B408" s="387"/>
      <c r="C408" s="195" t="s">
        <v>1274</v>
      </c>
      <c r="D408" s="196">
        <v>0.11</v>
      </c>
      <c r="E408" s="377" t="s">
        <v>1289</v>
      </c>
      <c r="F408" s="378"/>
    </row>
    <row r="409" spans="1:6" ht="14.65" customHeight="1">
      <c r="A409" s="356"/>
      <c r="B409" s="356"/>
      <c r="C409" s="356"/>
      <c r="D409" s="356"/>
      <c r="E409" s="356"/>
      <c r="F409" s="356"/>
    </row>
    <row r="410" spans="1:6" ht="14.65" customHeight="1">
      <c r="A410" s="371" t="s">
        <v>1344</v>
      </c>
      <c r="B410" s="374" t="s">
        <v>1345</v>
      </c>
      <c r="C410" s="195" t="s">
        <v>1197</v>
      </c>
      <c r="D410" s="196">
        <v>0.12</v>
      </c>
      <c r="E410" s="201">
        <v>110262.2</v>
      </c>
      <c r="F410" s="198">
        <v>0.19164900000000001</v>
      </c>
    </row>
    <row r="411" spans="1:6" ht="14.65" customHeight="1">
      <c r="A411" s="372"/>
      <c r="B411" s="375"/>
      <c r="C411" s="195" t="s">
        <v>1198</v>
      </c>
      <c r="D411" s="196">
        <v>0.105</v>
      </c>
      <c r="E411" s="201">
        <v>2994.3</v>
      </c>
      <c r="F411" s="198">
        <v>0.169268</v>
      </c>
    </row>
    <row r="412" spans="1:6" ht="14.65" customHeight="1">
      <c r="A412" s="372"/>
      <c r="B412" s="375"/>
      <c r="C412" s="195" t="s">
        <v>1191</v>
      </c>
      <c r="D412" s="196">
        <v>0.11</v>
      </c>
      <c r="E412" s="201">
        <v>1459.4</v>
      </c>
      <c r="F412" s="198">
        <v>0.15226999999999999</v>
      </c>
    </row>
    <row r="413" spans="1:6" ht="14.65" customHeight="1">
      <c r="A413" s="372"/>
      <c r="B413" s="375"/>
      <c r="C413" s="195" t="s">
        <v>1255</v>
      </c>
      <c r="D413" s="196">
        <v>0.105</v>
      </c>
      <c r="E413" s="377" t="s">
        <v>1289</v>
      </c>
      <c r="F413" s="378"/>
    </row>
    <row r="414" spans="1:6" ht="14.65" customHeight="1">
      <c r="A414" s="372"/>
      <c r="B414" s="375"/>
      <c r="C414" s="195" t="s">
        <v>1192</v>
      </c>
      <c r="D414" s="196">
        <v>0.11</v>
      </c>
      <c r="E414" s="377" t="s">
        <v>1289</v>
      </c>
      <c r="F414" s="378"/>
    </row>
    <row r="415" spans="1:6" ht="18" customHeight="1">
      <c r="A415" s="373"/>
      <c r="B415" s="376"/>
      <c r="C415" s="195" t="s">
        <v>1274</v>
      </c>
      <c r="D415" s="196">
        <v>0.11</v>
      </c>
      <c r="E415" s="377" t="s">
        <v>1289</v>
      </c>
      <c r="F415" s="378"/>
    </row>
    <row r="416" spans="1:6" ht="14.65" customHeight="1">
      <c r="A416" s="356"/>
      <c r="B416" s="356"/>
      <c r="C416" s="356"/>
      <c r="D416" s="356"/>
      <c r="E416" s="356"/>
      <c r="F416" s="356"/>
    </row>
    <row r="417" spans="1:10" ht="14.65" customHeight="1">
      <c r="A417" s="371" t="s">
        <v>1346</v>
      </c>
      <c r="B417" s="383" t="s">
        <v>1347</v>
      </c>
      <c r="C417" s="195" t="s">
        <v>1197</v>
      </c>
      <c r="D417" s="196">
        <v>0.12</v>
      </c>
      <c r="E417" s="201">
        <v>139085.6</v>
      </c>
      <c r="F417" s="198">
        <v>0.173794</v>
      </c>
    </row>
    <row r="418" spans="1:10" ht="14.65" customHeight="1">
      <c r="A418" s="372"/>
      <c r="B418" s="384"/>
      <c r="C418" s="195" t="s">
        <v>1198</v>
      </c>
      <c r="D418" s="196">
        <v>0.105</v>
      </c>
      <c r="E418" s="201">
        <v>46733.5</v>
      </c>
      <c r="F418" s="198">
        <v>0.159025</v>
      </c>
    </row>
    <row r="419" spans="1:10" ht="14.65" customHeight="1">
      <c r="A419" s="372"/>
      <c r="B419" s="384"/>
      <c r="C419" s="195" t="s">
        <v>1191</v>
      </c>
      <c r="D419" s="196">
        <v>0.14000000000000001</v>
      </c>
      <c r="E419" s="201">
        <v>66483.600000000006</v>
      </c>
      <c r="F419" s="198">
        <v>0.15090500000000001</v>
      </c>
    </row>
    <row r="420" spans="1:10" ht="14.65" customHeight="1">
      <c r="A420" s="372"/>
      <c r="B420" s="384"/>
      <c r="C420" s="195" t="s">
        <v>1255</v>
      </c>
      <c r="D420" s="196">
        <v>0.105</v>
      </c>
      <c r="E420" s="377" t="s">
        <v>1289</v>
      </c>
      <c r="F420" s="378"/>
    </row>
    <row r="421" spans="1:10" ht="14.65" customHeight="1">
      <c r="A421" s="372"/>
      <c r="B421" s="384"/>
      <c r="C421" s="195" t="s">
        <v>1192</v>
      </c>
      <c r="D421" s="196">
        <v>0.11</v>
      </c>
      <c r="E421" s="377" t="s">
        <v>1289</v>
      </c>
      <c r="F421" s="378"/>
    </row>
    <row r="422" spans="1:10" ht="14.65" customHeight="1">
      <c r="A422" s="373"/>
      <c r="B422" s="387"/>
      <c r="C422" s="195" t="s">
        <v>1274</v>
      </c>
      <c r="D422" s="196">
        <v>0.11</v>
      </c>
      <c r="E422" s="377" t="s">
        <v>1289</v>
      </c>
      <c r="F422" s="378"/>
    </row>
    <row r="423" spans="1:10" ht="14.65" customHeight="1">
      <c r="A423" s="356"/>
      <c r="B423" s="356"/>
      <c r="C423" s="356"/>
      <c r="D423" s="356"/>
      <c r="E423" s="356"/>
      <c r="F423" s="356"/>
      <c r="H423" s="193">
        <v>2023</v>
      </c>
      <c r="I423" s="193" t="s">
        <v>1233</v>
      </c>
      <c r="J423" s="193" t="s">
        <v>1234</v>
      </c>
    </row>
    <row r="424" spans="1:10" ht="14.65" customHeight="1">
      <c r="A424" s="371" t="s">
        <v>1348</v>
      </c>
      <c r="B424" s="383" t="s">
        <v>1349</v>
      </c>
      <c r="C424" s="195" t="s">
        <v>1197</v>
      </c>
      <c r="D424" s="196">
        <v>0.12</v>
      </c>
      <c r="E424" s="201">
        <v>246681.1</v>
      </c>
      <c r="F424" s="198">
        <v>0.16917299999999999</v>
      </c>
      <c r="H424" s="193" t="s">
        <v>1235</v>
      </c>
      <c r="I424" s="235" t="str" cm="1">
        <f t="array" ref="I424">IFERROR(
  AVERAGE(
    _xlfn._xlws.FILTER(
      $F$345:$F$429,
      ($C$345:$C$429 = $H424) * ($F$345:$F$429 &gt; 0)
    )
  ),
  "No matches"
)</f>
        <v>No matches</v>
      </c>
      <c r="J424" s="235" t="str" cm="1">
        <f t="array" ref="J424">IFERROR(
  AVERAGE(
    _xlfn._xlws.FILTER(
      $D$345:$D$429,
      ($C$345:$C$429 = $H424) * ($D$345:$D$429 &gt; 0)
    )
  ),
  "Zero"
)</f>
        <v>Zero</v>
      </c>
    </row>
    <row r="425" spans="1:10" ht="14.65" customHeight="1">
      <c r="A425" s="372"/>
      <c r="B425" s="384"/>
      <c r="C425" s="195" t="s">
        <v>1198</v>
      </c>
      <c r="D425" s="196">
        <v>0.105</v>
      </c>
      <c r="E425" s="201">
        <v>42598.1</v>
      </c>
      <c r="F425" s="198">
        <v>0.15807599999999999</v>
      </c>
      <c r="H425" s="193" t="s">
        <v>1238</v>
      </c>
      <c r="I425" s="235" cm="1">
        <f t="array" ref="I425">IFERROR(
  AVERAGE(
    _xlfn._xlws.FILTER(
      $F$345:$F$429,
      ($C$345:$C$429 = $H425) * ($F$345:$F$429 &gt; 0)
    )
  ),
  "No matches"
)</f>
        <v>0.18601139999999999</v>
      </c>
      <c r="J425" s="235" cm="1">
        <f t="array" ref="J425">IFERROR(
  AVERAGE(
    _xlfn._xlws.FILTER(
      $D$345:$D$429,
      ($C$345:$C$429 = $H425) * ($D$345:$D$429 &gt; 0)
    )
  ),
  "No matches"
)</f>
        <v>0.11000000000000003</v>
      </c>
    </row>
    <row r="426" spans="1:10" ht="14.65" customHeight="1">
      <c r="A426" s="372"/>
      <c r="B426" s="384"/>
      <c r="C426" s="195" t="s">
        <v>1191</v>
      </c>
      <c r="D426" s="196">
        <v>0.14000000000000001</v>
      </c>
      <c r="E426" s="201">
        <v>107293</v>
      </c>
      <c r="F426" s="198">
        <v>0.149697</v>
      </c>
      <c r="H426" s="193" t="s">
        <v>1239</v>
      </c>
      <c r="I426" s="235" cm="1">
        <f t="array" ref="I426">IFERROR(
  AVERAGE(
    _xlfn._xlws.FILTER(
      $F$345:$F$429,
      ($C$345:$C$429 = $H426) * ($F$345:$F$429 &gt; 0)
    )
  ),
  "No matches"
)</f>
        <v>0.15833916666666667</v>
      </c>
      <c r="J426" s="235" cm="1">
        <f t="array" ref="J426">IFERROR(
  AVERAGE(
    _xlfn._xlws.FILTER(
      $D$345:$D$429,
      ($C$345:$C$429 = $H426) * ($D$345:$D$429 &gt; 0)
    )
  ),
  "No matches"
)</f>
        <v>0.105</v>
      </c>
    </row>
    <row r="427" spans="1:10" ht="14.65" customHeight="1">
      <c r="A427" s="372"/>
      <c r="B427" s="384"/>
      <c r="C427" s="195" t="s">
        <v>1255</v>
      </c>
      <c r="D427" s="196">
        <v>0.105</v>
      </c>
      <c r="E427" s="377" t="s">
        <v>1289</v>
      </c>
      <c r="F427" s="378"/>
      <c r="H427" s="193" t="s">
        <v>1240</v>
      </c>
      <c r="I427" s="235" cm="1">
        <f t="array" ref="I427">IFERROR(
  AVERAGE(
    _xlfn._xlws.FILTER(
      $F$345:$F$429,
      ($C$345:$C$429 = $H427) * ($F$345:$F$429 &gt; 0)
    )
  ),
  "No matches"
)</f>
        <v>0.15134300000000001</v>
      </c>
      <c r="J427" s="235" cm="1">
        <f t="array" ref="J427">IFERROR(
  AVERAGE(
    _xlfn._xlws.FILTER(
      $D$345:$D$429,
      ($C$345:$C$429 = $H427) * ($D$345:$D$429 &gt; 0)
    )
  ),
  "No matches"
)</f>
        <v>0.11500000000000003</v>
      </c>
    </row>
    <row r="428" spans="1:10" ht="14.65" customHeight="1">
      <c r="A428" s="372"/>
      <c r="B428" s="384"/>
      <c r="C428" s="195" t="s">
        <v>1192</v>
      </c>
      <c r="D428" s="196">
        <v>0.11</v>
      </c>
      <c r="E428" s="377" t="s">
        <v>1289</v>
      </c>
      <c r="F428" s="378"/>
      <c r="H428" s="193" t="s">
        <v>1242</v>
      </c>
      <c r="I428" s="235" t="str" cm="1">
        <f t="array" ref="I428">IFERROR(
  AVERAGE(
    _xlfn._xlws.FILTER(
      $F$345:$F$429,
      ($C$345:$C$429 = $H428) * ($F$345:$F$429 &gt; 0)
    )
  ),
  "No matches"
)</f>
        <v>No matches</v>
      </c>
      <c r="J428" s="235" cm="1">
        <f t="array" ref="J428">IFERROR(
  AVERAGE(
    _xlfn._xlws.FILTER(
      $D$345:$D$429,
      ($C$345:$C$429 = $H428) * ($D$345:$D$429 &gt; 0)
    )
  ),
  "No matches"
)</f>
        <v>0.105</v>
      </c>
    </row>
    <row r="429" spans="1:10" ht="14.65" customHeight="1">
      <c r="A429" s="372"/>
      <c r="B429" s="384"/>
      <c r="C429" s="326" t="s">
        <v>1274</v>
      </c>
      <c r="D429" s="203">
        <v>0.11</v>
      </c>
      <c r="E429" s="385" t="s">
        <v>1289</v>
      </c>
      <c r="F429" s="386"/>
      <c r="H429" s="193" t="s">
        <v>1243</v>
      </c>
      <c r="I429" s="235" t="str" cm="1">
        <f t="array" ref="I429">IFERROR(
  AVERAGE(
    _xlfn._xlws.FILTER(
      $F$345:$F$429,
      ($C$345:$C$429 = $H429) * ($F$345:$F$429 &gt; 0)
    )
  ),
  "No matches"
)</f>
        <v>No matches</v>
      </c>
      <c r="J429" s="235" cm="1">
        <f t="array" ref="J429">IFERROR(
  AVERAGE(
    _xlfn._xlws.FILTER(
      $D$345:$D$429,
      ($C$345:$C$429 = $H429) * ($D$345:$D$429 &gt; 0)
    )
  ),
  "No matches"
)</f>
        <v>0.11000000000000003</v>
      </c>
    </row>
    <row r="430" spans="1:10" ht="15.4" customHeight="1">
      <c r="A430" s="382" t="s">
        <v>1189</v>
      </c>
      <c r="B430" s="382"/>
      <c r="C430" s="382"/>
      <c r="D430" s="382"/>
      <c r="E430" s="382"/>
      <c r="F430" s="382"/>
      <c r="H430" s="459" t="s">
        <v>1246</v>
      </c>
      <c r="I430" s="235" t="str" cm="1">
        <f t="array" ref="I430">IFERROR(
  AVERAGE(
    _xlfn._xlws.FILTER(
      $F$345:$F$429,
      ($C$345:$C$429 = $H430) * ($F$345:$F$429 &gt; 0)
    )
  ),
  "No matches"
)</f>
        <v>No matches</v>
      </c>
      <c r="J430" s="235" cm="1">
        <f t="array" ref="J430">IFERROR(
  AVERAGE(
    _xlfn._xlws.FILTER(
      $D$345:$D$429,
      ($C$345:$C$429 = $H430) * ($D$345:$D$429 &gt; 0)
    )
  ),
  "No matches"
)</f>
        <v>0.11000000000000003</v>
      </c>
    </row>
    <row r="431" spans="1:10" ht="14.65" customHeight="1">
      <c r="A431" s="356"/>
      <c r="B431" s="356"/>
      <c r="C431" s="356"/>
      <c r="D431" s="356"/>
      <c r="E431" s="356"/>
      <c r="F431" s="356"/>
      <c r="G431" s="232"/>
      <c r="I431" s="234">
        <f>AVERAGE(I424:I430)</f>
        <v>0.16523118888888888</v>
      </c>
      <c r="J431" s="234">
        <f>AVERAGE(J424:J430)</f>
        <v>0.10916666666666668</v>
      </c>
    </row>
    <row r="432" spans="1:10" ht="14.65" customHeight="1">
      <c r="A432" s="371" t="s">
        <v>1350</v>
      </c>
      <c r="B432" s="379" t="s">
        <v>1351</v>
      </c>
      <c r="C432" s="195" t="s">
        <v>1197</v>
      </c>
      <c r="D432" s="196">
        <v>0.12</v>
      </c>
      <c r="E432" s="201">
        <v>97353.5</v>
      </c>
      <c r="F432" s="198">
        <v>0.16597700000000001</v>
      </c>
      <c r="G432" s="232"/>
    </row>
    <row r="433" spans="1:7" ht="14.65" customHeight="1">
      <c r="A433" s="372"/>
      <c r="B433" s="380"/>
      <c r="C433" s="195" t="s">
        <v>1198</v>
      </c>
      <c r="D433" s="196">
        <v>0.14000000000000001</v>
      </c>
      <c r="E433" s="201">
        <v>61954.1</v>
      </c>
      <c r="F433" s="198">
        <v>0.15376400000000001</v>
      </c>
      <c r="G433" s="232"/>
    </row>
    <row r="434" spans="1:7" ht="14.65" customHeight="1">
      <c r="A434" s="372"/>
      <c r="B434" s="380"/>
      <c r="C434" s="195" t="s">
        <v>1191</v>
      </c>
      <c r="D434" s="196">
        <v>0.14000000000000001</v>
      </c>
      <c r="E434" s="201">
        <v>2771</v>
      </c>
      <c r="F434" s="198">
        <v>0.14374999999999999</v>
      </c>
      <c r="G434" s="232"/>
    </row>
    <row r="435" spans="1:7" ht="14.65" customHeight="1">
      <c r="A435" s="372"/>
      <c r="B435" s="380"/>
      <c r="C435" s="195" t="s">
        <v>1255</v>
      </c>
      <c r="D435" s="196">
        <v>0.105</v>
      </c>
      <c r="E435" s="377" t="s">
        <v>1289</v>
      </c>
      <c r="F435" s="378"/>
      <c r="G435" s="232"/>
    </row>
    <row r="436" spans="1:7" ht="14.65" customHeight="1">
      <c r="A436" s="372"/>
      <c r="B436" s="380"/>
      <c r="C436" s="195" t="s">
        <v>1192</v>
      </c>
      <c r="D436" s="196">
        <v>0.11</v>
      </c>
      <c r="E436" s="377" t="s">
        <v>1289</v>
      </c>
      <c r="F436" s="378"/>
      <c r="G436" s="232"/>
    </row>
    <row r="437" spans="1:7" ht="14.65" customHeight="1">
      <c r="A437" s="373"/>
      <c r="B437" s="381"/>
      <c r="C437" s="195" t="s">
        <v>1274</v>
      </c>
      <c r="D437" s="196">
        <v>0.11</v>
      </c>
      <c r="E437" s="377" t="s">
        <v>1289</v>
      </c>
      <c r="F437" s="378"/>
      <c r="G437" s="232"/>
    </row>
    <row r="438" spans="1:7" ht="14.65" customHeight="1">
      <c r="A438" s="356"/>
      <c r="B438" s="356"/>
      <c r="C438" s="356"/>
      <c r="D438" s="356"/>
      <c r="E438" s="356"/>
      <c r="F438" s="356"/>
      <c r="G438" s="232"/>
    </row>
    <row r="439" spans="1:7" ht="14.65" customHeight="1">
      <c r="A439" s="371" t="s">
        <v>1352</v>
      </c>
      <c r="B439" s="379" t="s">
        <v>1353</v>
      </c>
      <c r="C439" s="195" t="s">
        <v>1197</v>
      </c>
      <c r="D439" s="196">
        <v>0.14000000000000001</v>
      </c>
      <c r="E439" s="201">
        <v>70074.3</v>
      </c>
      <c r="F439" s="198">
        <v>0.16727300000000001</v>
      </c>
      <c r="G439" s="232"/>
    </row>
    <row r="440" spans="1:7" ht="14.65" customHeight="1">
      <c r="A440" s="372"/>
      <c r="B440" s="380"/>
      <c r="C440" s="195" t="s">
        <v>1198</v>
      </c>
      <c r="D440" s="196">
        <v>0.14000000000000001</v>
      </c>
      <c r="E440" s="201">
        <v>13724.7</v>
      </c>
      <c r="F440" s="198">
        <v>0.155476</v>
      </c>
      <c r="G440" s="232"/>
    </row>
    <row r="441" spans="1:7" ht="14.65" customHeight="1">
      <c r="A441" s="372"/>
      <c r="B441" s="380"/>
      <c r="C441" s="195" t="s">
        <v>1191</v>
      </c>
      <c r="D441" s="196">
        <v>0.14000000000000001</v>
      </c>
      <c r="E441" s="201">
        <v>1544</v>
      </c>
      <c r="F441" s="198">
        <v>0.1449</v>
      </c>
      <c r="G441" s="232"/>
    </row>
    <row r="442" spans="1:7" ht="14.65" customHeight="1">
      <c r="A442" s="372"/>
      <c r="B442" s="380"/>
      <c r="C442" s="195" t="s">
        <v>1255</v>
      </c>
      <c r="D442" s="196">
        <v>0.105</v>
      </c>
      <c r="E442" s="377" t="s">
        <v>1289</v>
      </c>
      <c r="F442" s="378"/>
      <c r="G442" s="232"/>
    </row>
    <row r="443" spans="1:7" ht="14.65" customHeight="1">
      <c r="A443" s="372"/>
      <c r="B443" s="380"/>
      <c r="C443" s="195" t="s">
        <v>1192</v>
      </c>
      <c r="D443" s="196">
        <v>0.11</v>
      </c>
      <c r="E443" s="377" t="s">
        <v>1289</v>
      </c>
      <c r="F443" s="378"/>
      <c r="G443" s="232"/>
    </row>
    <row r="444" spans="1:7" ht="14.65" customHeight="1">
      <c r="A444" s="373"/>
      <c r="B444" s="381"/>
      <c r="C444" s="195" t="s">
        <v>1274</v>
      </c>
      <c r="D444" s="196">
        <v>0.11</v>
      </c>
      <c r="E444" s="377" t="s">
        <v>1289</v>
      </c>
      <c r="F444" s="378"/>
      <c r="G444" s="232"/>
    </row>
    <row r="445" spans="1:7" ht="14.65" customHeight="1">
      <c r="A445" s="356"/>
      <c r="B445" s="356"/>
      <c r="C445" s="356"/>
      <c r="D445" s="356"/>
      <c r="E445" s="356"/>
      <c r="F445" s="356"/>
      <c r="G445" s="232"/>
    </row>
    <row r="446" spans="1:7" ht="14.65" customHeight="1">
      <c r="A446" s="371" t="s">
        <v>1354</v>
      </c>
      <c r="B446" s="374" t="s">
        <v>1355</v>
      </c>
      <c r="C446" s="195" t="s">
        <v>1197</v>
      </c>
      <c r="D446" s="196">
        <v>0.14000000000000001</v>
      </c>
      <c r="E446" s="201">
        <v>42916.9</v>
      </c>
      <c r="F446" s="198">
        <v>0.16674700000000001</v>
      </c>
      <c r="G446" s="232"/>
    </row>
    <row r="447" spans="1:7" ht="14.65" customHeight="1">
      <c r="A447" s="372"/>
      <c r="B447" s="375"/>
      <c r="C447" s="195" t="s">
        <v>1198</v>
      </c>
      <c r="D447" s="196">
        <v>0.14000000000000001</v>
      </c>
      <c r="E447" s="201">
        <v>11812.9</v>
      </c>
      <c r="F447" s="198">
        <v>0.15462899999999999</v>
      </c>
      <c r="G447" s="232"/>
    </row>
    <row r="448" spans="1:7" ht="14.65" customHeight="1">
      <c r="A448" s="372"/>
      <c r="B448" s="375"/>
      <c r="C448" s="195" t="s">
        <v>1191</v>
      </c>
      <c r="D448" s="196">
        <v>0.14000000000000001</v>
      </c>
      <c r="E448" s="201">
        <v>1218</v>
      </c>
      <c r="F448" s="198">
        <v>0.14274999999999999</v>
      </c>
      <c r="G448" s="232"/>
    </row>
    <row r="449" spans="1:7" ht="14.65" customHeight="1">
      <c r="A449" s="372"/>
      <c r="B449" s="375"/>
      <c r="C449" s="195" t="s">
        <v>1255</v>
      </c>
      <c r="D449" s="196">
        <v>0.105</v>
      </c>
      <c r="E449" s="377" t="s">
        <v>1289</v>
      </c>
      <c r="F449" s="378"/>
      <c r="G449" s="232"/>
    </row>
    <row r="450" spans="1:7" ht="14.65" customHeight="1">
      <c r="A450" s="372"/>
      <c r="B450" s="375"/>
      <c r="C450" s="195" t="s">
        <v>1192</v>
      </c>
      <c r="D450" s="196">
        <v>0.11</v>
      </c>
      <c r="E450" s="377" t="s">
        <v>1289</v>
      </c>
      <c r="F450" s="378"/>
      <c r="G450" s="232"/>
    </row>
    <row r="451" spans="1:7" ht="14.65" customHeight="1">
      <c r="A451" s="373"/>
      <c r="B451" s="376"/>
      <c r="C451" s="195" t="s">
        <v>1274</v>
      </c>
      <c r="D451" s="196">
        <v>0.11</v>
      </c>
      <c r="E451" s="377" t="s">
        <v>1289</v>
      </c>
      <c r="F451" s="378"/>
      <c r="G451" s="232"/>
    </row>
    <row r="452" spans="1:7" ht="14.65" customHeight="1">
      <c r="A452" s="356"/>
      <c r="B452" s="356"/>
      <c r="C452" s="356"/>
      <c r="D452" s="356"/>
      <c r="E452" s="356"/>
      <c r="F452" s="356"/>
      <c r="G452" s="232"/>
    </row>
    <row r="453" spans="1:7" ht="14.65" customHeight="1">
      <c r="A453" s="371" t="s">
        <v>1356</v>
      </c>
      <c r="B453" s="374" t="s">
        <v>1357</v>
      </c>
      <c r="C453" s="195" t="s">
        <v>1197</v>
      </c>
      <c r="D453" s="196">
        <v>0.14000000000000001</v>
      </c>
      <c r="E453" s="201">
        <v>4135.7</v>
      </c>
      <c r="F453" s="198">
        <v>0.16650000000000001</v>
      </c>
      <c r="G453" s="232"/>
    </row>
    <row r="454" spans="1:7" ht="14.65" customHeight="1">
      <c r="A454" s="372"/>
      <c r="B454" s="375"/>
      <c r="C454" s="195" t="s">
        <v>1198</v>
      </c>
      <c r="D454" s="196">
        <v>0.14000000000000001</v>
      </c>
      <c r="E454" s="201">
        <v>1643.2</v>
      </c>
      <c r="F454" s="198">
        <v>0.1542</v>
      </c>
      <c r="G454" s="232"/>
    </row>
    <row r="455" spans="1:7" ht="14.65" customHeight="1">
      <c r="A455" s="372"/>
      <c r="B455" s="375"/>
      <c r="C455" s="195" t="s">
        <v>1191</v>
      </c>
      <c r="D455" s="196">
        <v>0.14000000000000001</v>
      </c>
      <c r="E455" s="201">
        <v>1052</v>
      </c>
      <c r="F455" s="198">
        <v>0.14274999999999999</v>
      </c>
      <c r="G455" s="232"/>
    </row>
    <row r="456" spans="1:7" ht="14.65" customHeight="1">
      <c r="A456" s="372"/>
      <c r="B456" s="375"/>
      <c r="C456" s="195" t="s">
        <v>1255</v>
      </c>
      <c r="D456" s="196">
        <v>0.105</v>
      </c>
      <c r="E456" s="377" t="s">
        <v>1289</v>
      </c>
      <c r="F456" s="378"/>
      <c r="G456" s="232"/>
    </row>
    <row r="457" spans="1:7" ht="14.65" customHeight="1">
      <c r="A457" s="372"/>
      <c r="B457" s="375"/>
      <c r="C457" s="195" t="s">
        <v>1192</v>
      </c>
      <c r="D457" s="196">
        <v>0.11</v>
      </c>
      <c r="E457" s="377" t="s">
        <v>1289</v>
      </c>
      <c r="F457" s="378"/>
      <c r="G457" s="232"/>
    </row>
    <row r="458" spans="1:7" ht="14.65" customHeight="1">
      <c r="A458" s="373"/>
      <c r="B458" s="376"/>
      <c r="C458" s="195" t="s">
        <v>1274</v>
      </c>
      <c r="D458" s="196">
        <v>0.11</v>
      </c>
      <c r="E458" s="377" t="s">
        <v>1289</v>
      </c>
      <c r="F458" s="378"/>
      <c r="G458" s="232"/>
    </row>
    <row r="459" spans="1:7" ht="14.25" customHeight="1">
      <c r="A459" s="226"/>
      <c r="B459" s="226"/>
      <c r="C459" s="226"/>
      <c r="D459" s="226"/>
      <c r="E459" s="226"/>
      <c r="F459" s="228">
        <f>AVERAGEIF(F453:F458,"&gt;0")</f>
        <v>0.15448333333333333</v>
      </c>
      <c r="G459" s="232"/>
    </row>
    <row r="460" spans="1:7" ht="14.65" customHeight="1">
      <c r="A460" s="371" t="s">
        <v>1358</v>
      </c>
      <c r="B460" s="374" t="s">
        <v>1359</v>
      </c>
      <c r="C460" s="195" t="s">
        <v>1197</v>
      </c>
      <c r="D460" s="196">
        <v>0.14000000000000001</v>
      </c>
      <c r="E460" s="201">
        <v>32541.4</v>
      </c>
      <c r="F460" s="198">
        <v>0.166019</v>
      </c>
      <c r="G460" s="232"/>
    </row>
    <row r="461" spans="1:7" ht="14.65" customHeight="1">
      <c r="A461" s="372"/>
      <c r="B461" s="375"/>
      <c r="C461" s="195" t="s">
        <v>1198</v>
      </c>
      <c r="D461" s="196">
        <v>0.14000000000000001</v>
      </c>
      <c r="E461" s="201">
        <v>49115</v>
      </c>
      <c r="F461" s="198">
        <v>0.153779</v>
      </c>
      <c r="G461" s="232"/>
    </row>
    <row r="462" spans="1:7" ht="14.65" customHeight="1">
      <c r="A462" s="372"/>
      <c r="B462" s="375"/>
      <c r="C462" s="195" t="s">
        <v>1191</v>
      </c>
      <c r="D462" s="196">
        <v>0.14000000000000001</v>
      </c>
      <c r="E462" s="201">
        <v>15225</v>
      </c>
      <c r="F462" s="198">
        <v>0.14257600000000001</v>
      </c>
      <c r="G462" s="232"/>
    </row>
    <row r="463" spans="1:7" ht="14.65" customHeight="1">
      <c r="A463" s="372"/>
      <c r="B463" s="375"/>
      <c r="C463" s="195" t="s">
        <v>1255</v>
      </c>
      <c r="D463" s="196">
        <v>0.105</v>
      </c>
      <c r="E463" s="377" t="s">
        <v>1289</v>
      </c>
      <c r="F463" s="378"/>
      <c r="G463" s="232"/>
    </row>
    <row r="464" spans="1:7" ht="14.65" customHeight="1">
      <c r="A464" s="372"/>
      <c r="B464" s="375"/>
      <c r="C464" s="195" t="s">
        <v>1192</v>
      </c>
      <c r="D464" s="196">
        <v>0.11</v>
      </c>
      <c r="E464" s="377" t="s">
        <v>1289</v>
      </c>
      <c r="F464" s="378"/>
      <c r="G464" s="232"/>
    </row>
    <row r="465" spans="1:8" ht="15" customHeight="1">
      <c r="A465" s="373"/>
      <c r="B465" s="376"/>
      <c r="C465" s="195" t="s">
        <v>1274</v>
      </c>
      <c r="D465" s="196">
        <v>0.11</v>
      </c>
      <c r="E465" s="377" t="s">
        <v>1289</v>
      </c>
      <c r="F465" s="378"/>
      <c r="G465" s="232"/>
    </row>
    <row r="466" spans="1:8" ht="14.65" customHeight="1">
      <c r="A466" s="226"/>
      <c r="B466" s="226"/>
      <c r="C466" s="226"/>
      <c r="D466" s="226"/>
      <c r="E466" s="226"/>
      <c r="F466" s="228">
        <f>AVERAGEIF(F460:F465,"&gt;0")</f>
        <v>0.15412466666666669</v>
      </c>
      <c r="G466" s="232"/>
    </row>
    <row r="467" spans="1:8" ht="16.5" customHeight="1">
      <c r="A467" s="357" t="s">
        <v>1360</v>
      </c>
      <c r="B467" s="365" t="s">
        <v>1361</v>
      </c>
      <c r="C467" s="207" t="s">
        <v>1362</v>
      </c>
      <c r="D467" s="208">
        <v>0.14000000000000001</v>
      </c>
      <c r="E467" s="209">
        <v>116025.1</v>
      </c>
      <c r="F467" s="210">
        <v>0.16555700000000001</v>
      </c>
      <c r="G467" s="232"/>
      <c r="H467" s="459" t="s">
        <v>1363</v>
      </c>
    </row>
    <row r="468" spans="1:8" ht="16.5" customHeight="1">
      <c r="A468" s="358"/>
      <c r="B468" s="366"/>
      <c r="C468" s="207" t="s">
        <v>1364</v>
      </c>
      <c r="D468" s="208">
        <v>0.14000000000000001</v>
      </c>
      <c r="E468" s="209">
        <v>1475.1</v>
      </c>
      <c r="F468" s="210">
        <v>0.154475</v>
      </c>
      <c r="G468" s="232"/>
    </row>
    <row r="469" spans="1:8" ht="16.5" customHeight="1">
      <c r="A469" s="364"/>
      <c r="B469" s="367"/>
      <c r="C469" s="207" t="s">
        <v>1365</v>
      </c>
      <c r="D469" s="208">
        <v>0.14000000000000001</v>
      </c>
      <c r="E469" s="209">
        <v>13900</v>
      </c>
      <c r="F469" s="210">
        <v>0.14247099999999999</v>
      </c>
      <c r="G469" s="232"/>
    </row>
    <row r="470" spans="1:8" ht="14.65" customHeight="1">
      <c r="A470" s="226"/>
      <c r="B470" s="226"/>
      <c r="C470" s="226"/>
      <c r="D470" s="226"/>
      <c r="E470" s="226"/>
      <c r="F470" s="228">
        <f>AVERAGEIF(F467:F469,"&gt;0")</f>
        <v>0.15416766666666668</v>
      </c>
      <c r="G470" s="232"/>
    </row>
    <row r="471" spans="1:8" ht="16.5" customHeight="1">
      <c r="A471" s="357" t="s">
        <v>1366</v>
      </c>
      <c r="B471" s="365" t="s">
        <v>1367</v>
      </c>
      <c r="C471" s="207" t="s">
        <v>1362</v>
      </c>
      <c r="D471" s="208">
        <v>0.14000000000000001</v>
      </c>
      <c r="E471" s="209">
        <v>63211.5</v>
      </c>
      <c r="F471" s="210">
        <v>0.16466500000000001</v>
      </c>
      <c r="G471" s="232"/>
    </row>
    <row r="472" spans="1:8" ht="16.5" customHeight="1">
      <c r="A472" s="358"/>
      <c r="B472" s="366"/>
      <c r="C472" s="207" t="s">
        <v>1364</v>
      </c>
      <c r="D472" s="208">
        <v>0.14000000000000001</v>
      </c>
      <c r="E472" s="209">
        <v>17855</v>
      </c>
      <c r="F472" s="210">
        <v>0.154053</v>
      </c>
      <c r="G472" s="232"/>
    </row>
    <row r="473" spans="1:8" ht="16.5" customHeight="1">
      <c r="A473" s="364"/>
      <c r="B473" s="367"/>
      <c r="C473" s="207" t="s">
        <v>1365</v>
      </c>
      <c r="D473" s="208">
        <v>0.14000000000000001</v>
      </c>
      <c r="E473" s="359" t="s">
        <v>1288</v>
      </c>
      <c r="F473" s="360"/>
      <c r="G473" s="232"/>
    </row>
    <row r="474" spans="1:8" ht="14.65" customHeight="1">
      <c r="A474" s="226"/>
      <c r="B474" s="226"/>
      <c r="C474" s="226"/>
      <c r="D474" s="226"/>
      <c r="E474" s="226"/>
      <c r="F474" s="228">
        <f>AVERAGEIF(F471:F473,"&gt;0")</f>
        <v>0.159359</v>
      </c>
      <c r="G474" s="232"/>
    </row>
    <row r="475" spans="1:8" ht="16.5" customHeight="1">
      <c r="A475" s="357" t="s">
        <v>1368</v>
      </c>
      <c r="B475" s="365" t="s">
        <v>1369</v>
      </c>
      <c r="C475" s="207" t="s">
        <v>1362</v>
      </c>
      <c r="D475" s="208">
        <v>0.14000000000000001</v>
      </c>
      <c r="E475" s="209">
        <v>106988.9</v>
      </c>
      <c r="F475" s="210">
        <v>0.16159899999999999</v>
      </c>
      <c r="G475" s="232"/>
    </row>
    <row r="476" spans="1:8" ht="16.5" customHeight="1">
      <c r="A476" s="358"/>
      <c r="B476" s="366"/>
      <c r="C476" s="207" t="s">
        <v>1364</v>
      </c>
      <c r="D476" s="208">
        <v>0.14000000000000001</v>
      </c>
      <c r="E476" s="209">
        <v>33697.1</v>
      </c>
      <c r="F476" s="210">
        <v>0.15278600000000001</v>
      </c>
      <c r="G476" s="232"/>
    </row>
    <row r="477" spans="1:8" ht="16.5" customHeight="1">
      <c r="A477" s="364"/>
      <c r="B477" s="367"/>
      <c r="C477" s="207" t="s">
        <v>1365</v>
      </c>
      <c r="D477" s="208">
        <v>0.14000000000000001</v>
      </c>
      <c r="E477" s="359" t="s">
        <v>1288</v>
      </c>
      <c r="F477" s="360"/>
      <c r="G477" s="232"/>
    </row>
    <row r="478" spans="1:8" ht="14.65" customHeight="1">
      <c r="A478" s="226"/>
      <c r="B478" s="226"/>
      <c r="C478" s="226"/>
      <c r="D478" s="226"/>
      <c r="E478" s="226"/>
      <c r="F478" s="228">
        <f>AVERAGEIF(F475:F477,"&gt;0")</f>
        <v>0.15719250000000001</v>
      </c>
      <c r="G478" s="232"/>
    </row>
    <row r="479" spans="1:8" ht="16.5" customHeight="1">
      <c r="A479" s="347" t="s">
        <v>1370</v>
      </c>
      <c r="B479" s="357" t="s">
        <v>1371</v>
      </c>
      <c r="C479" s="207" t="s">
        <v>1372</v>
      </c>
      <c r="D479" s="211" t="s">
        <v>1373</v>
      </c>
      <c r="E479" s="209">
        <v>43310.400000000001</v>
      </c>
      <c r="F479" s="210">
        <v>0.13980000000000001</v>
      </c>
      <c r="G479" s="232"/>
    </row>
    <row r="480" spans="1:8" ht="16.5" customHeight="1">
      <c r="A480" s="348"/>
      <c r="B480" s="358"/>
      <c r="C480" s="207" t="s">
        <v>1362</v>
      </c>
      <c r="D480" s="208">
        <v>0.14000000000000001</v>
      </c>
      <c r="E480" s="209">
        <v>26375.200000000001</v>
      </c>
      <c r="F480" s="210">
        <v>0.128995</v>
      </c>
      <c r="G480" s="232"/>
    </row>
    <row r="481" spans="1:10" ht="16.5" customHeight="1">
      <c r="A481" s="348"/>
      <c r="B481" s="358"/>
      <c r="C481" s="207" t="s">
        <v>1364</v>
      </c>
      <c r="D481" s="208">
        <v>0.14000000000000001</v>
      </c>
      <c r="E481" s="209">
        <v>26016.400000000001</v>
      </c>
      <c r="F481" s="210">
        <v>0.13400000000000001</v>
      </c>
      <c r="G481" s="232"/>
    </row>
    <row r="482" spans="1:10" ht="16.5" customHeight="1">
      <c r="A482" s="349"/>
      <c r="B482" s="364"/>
      <c r="C482" s="207" t="s">
        <v>1365</v>
      </c>
      <c r="D482" s="208">
        <v>0.13</v>
      </c>
      <c r="E482" s="209">
        <v>17006</v>
      </c>
      <c r="F482" s="210">
        <v>0.131415</v>
      </c>
      <c r="G482" s="232"/>
    </row>
    <row r="483" spans="1:10" ht="14.65" customHeight="1">
      <c r="A483" s="226"/>
      <c r="B483" s="226"/>
      <c r="C483" s="226"/>
      <c r="D483" s="226"/>
      <c r="E483" s="226"/>
      <c r="F483" s="228">
        <f>AVERAGEIF(F479:F482,"&gt;0")</f>
        <v>0.13355250000000002</v>
      </c>
      <c r="G483" s="232"/>
    </row>
    <row r="484" spans="1:10" ht="16.5" customHeight="1">
      <c r="A484" s="347" t="s">
        <v>1374</v>
      </c>
      <c r="B484" s="368" t="s">
        <v>1375</v>
      </c>
      <c r="C484" s="207" t="s">
        <v>1372</v>
      </c>
      <c r="D484" s="211" t="s">
        <v>1373</v>
      </c>
      <c r="E484" s="209">
        <v>33011.5</v>
      </c>
      <c r="F484" s="210">
        <v>0.13234099999999999</v>
      </c>
      <c r="G484" s="232"/>
    </row>
    <row r="485" spans="1:10" ht="16.5" customHeight="1">
      <c r="A485" s="348"/>
      <c r="B485" s="369"/>
      <c r="C485" s="207" t="s">
        <v>1362</v>
      </c>
      <c r="D485" s="208">
        <v>0.14000000000000001</v>
      </c>
      <c r="E485" s="209">
        <v>30403.200000000001</v>
      </c>
      <c r="F485" s="210">
        <v>0.124305</v>
      </c>
      <c r="G485" s="232"/>
    </row>
    <row r="486" spans="1:10" ht="16.5" customHeight="1">
      <c r="A486" s="348"/>
      <c r="B486" s="369"/>
      <c r="C486" s="207" t="s">
        <v>1364</v>
      </c>
      <c r="D486" s="208">
        <v>0.14000000000000001</v>
      </c>
      <c r="E486" s="209">
        <v>68032.100000000006</v>
      </c>
      <c r="F486" s="210">
        <v>0.127385</v>
      </c>
      <c r="G486" s="232"/>
    </row>
    <row r="487" spans="1:10" ht="16.5" customHeight="1">
      <c r="A487" s="349"/>
      <c r="B487" s="370"/>
      <c r="C487" s="207" t="s">
        <v>1365</v>
      </c>
      <c r="D487" s="208">
        <v>0.13</v>
      </c>
      <c r="E487" s="209">
        <v>65940</v>
      </c>
      <c r="F487" s="210">
        <v>0.12895100000000001</v>
      </c>
      <c r="G487" s="232"/>
    </row>
    <row r="488" spans="1:10" ht="14.65" customHeight="1">
      <c r="A488" s="226"/>
      <c r="B488" s="226"/>
      <c r="C488" s="226"/>
      <c r="D488" s="226"/>
      <c r="E488" s="226"/>
      <c r="F488" s="228">
        <f>AVERAGEIF(F484:F487,"&gt;0")</f>
        <v>0.12824550000000001</v>
      </c>
      <c r="G488" s="232"/>
    </row>
    <row r="489" spans="1:10" ht="16.5" customHeight="1">
      <c r="A489" s="347" t="s">
        <v>1376</v>
      </c>
      <c r="B489" s="357" t="s">
        <v>1377</v>
      </c>
      <c r="C489" s="207" t="s">
        <v>1372</v>
      </c>
      <c r="D489" s="211" t="s">
        <v>1373</v>
      </c>
      <c r="E489" s="209">
        <v>149507.4</v>
      </c>
      <c r="F489" s="210">
        <v>0.129936</v>
      </c>
      <c r="G489" s="232"/>
    </row>
    <row r="490" spans="1:10" ht="16.5" customHeight="1">
      <c r="A490" s="348"/>
      <c r="B490" s="358"/>
      <c r="C490" s="207" t="s">
        <v>1362</v>
      </c>
      <c r="D490" s="208">
        <v>0.14000000000000001</v>
      </c>
      <c r="E490" s="209">
        <v>17657</v>
      </c>
      <c r="F490" s="210">
        <v>0.123949</v>
      </c>
      <c r="G490" s="232"/>
    </row>
    <row r="491" spans="1:10" ht="16.5" customHeight="1">
      <c r="A491" s="348"/>
      <c r="B491" s="358"/>
      <c r="C491" s="207" t="s">
        <v>1364</v>
      </c>
      <c r="D491" s="208">
        <v>0.14000000000000001</v>
      </c>
      <c r="E491" s="209">
        <v>163498.6</v>
      </c>
      <c r="F491" s="210">
        <v>0.126635</v>
      </c>
      <c r="G491" s="232"/>
    </row>
    <row r="492" spans="1:10" ht="16.5" customHeight="1">
      <c r="A492" s="349"/>
      <c r="B492" s="364"/>
      <c r="C492" s="207" t="s">
        <v>1365</v>
      </c>
      <c r="D492" s="208">
        <v>0.13</v>
      </c>
      <c r="E492" s="209">
        <v>37288.6</v>
      </c>
      <c r="F492" s="210">
        <v>0.12837499999999999</v>
      </c>
      <c r="G492" s="232"/>
      <c r="H492" s="193">
        <v>2024</v>
      </c>
      <c r="I492" s="193" t="s">
        <v>1233</v>
      </c>
      <c r="J492" s="193" t="s">
        <v>1234</v>
      </c>
    </row>
    <row r="493" spans="1:10" ht="14.65" customHeight="1">
      <c r="A493" s="226"/>
      <c r="B493" s="226"/>
      <c r="C493" s="226"/>
      <c r="D493" s="226"/>
      <c r="E493" s="226"/>
      <c r="F493" s="228">
        <f>AVERAGEIF(F489:F492,"&gt;0")</f>
        <v>0.12722375</v>
      </c>
      <c r="G493" s="232"/>
      <c r="H493" s="193" t="s">
        <v>1235</v>
      </c>
      <c r="I493" s="235" cm="1">
        <f t="array" ref="I493">IFERROR(
  AVERAGE(
    _xlfn._xlws.FILTER(
      $F$432:$F$497,
      ($C$432:$C$497 = $H493) * ($F$432:$F$497 &gt; 0)
    )
  ),
  "No matches"
)</f>
        <v>0.13168325</v>
      </c>
      <c r="J493" s="235" t="str" cm="1">
        <f t="array" ref="J493">IFERROR(
  AVERAGE(
    _xlfn._xlws.FILTER(
      $D$432:$D$497,
      ($C$432:$C$497 = $H493) * ($D$432:$D$497 &gt; 0)
    )
  ),
  "Zero"
)</f>
        <v>Zero</v>
      </c>
    </row>
    <row r="494" spans="1:10" ht="16.5" customHeight="1">
      <c r="A494" s="347" t="s">
        <v>1378</v>
      </c>
      <c r="B494" s="357" t="s">
        <v>1379</v>
      </c>
      <c r="C494" s="207" t="s">
        <v>1372</v>
      </c>
      <c r="D494" s="211" t="s">
        <v>1373</v>
      </c>
      <c r="E494" s="209">
        <v>58644.2</v>
      </c>
      <c r="F494" s="210">
        <v>0.124656</v>
      </c>
      <c r="G494" s="232"/>
      <c r="H494" s="193" t="s">
        <v>1238</v>
      </c>
      <c r="I494" s="235" cm="1">
        <f t="array" ref="I494">IFERROR(
  AVERAGE(
    _xlfn._xlws.FILTER(
      $F$432:$F$497,
      ($C$432:$C$497 = $H494) * ($F$432:$F$497 &gt; 0)
    )
  ),
  "No matches"
)</f>
        <v>0.15213791666666668</v>
      </c>
      <c r="J494" s="235" cm="1">
        <f t="array" ref="J494">IFERROR(
  AVERAGE(
    _xlfn._xlws.FILTER(
      $D$432:$D$497,
      ($C$432:$C$497 = $H494) * ($D$432:$D$497 &gt; 0)
    )
  ),
  "Zero"
)</f>
        <v>0.13833333333333339</v>
      </c>
    </row>
    <row r="495" spans="1:10" ht="16.5" customHeight="1">
      <c r="A495" s="348"/>
      <c r="B495" s="358"/>
      <c r="C495" s="207" t="s">
        <v>1362</v>
      </c>
      <c r="D495" s="208">
        <v>0.14000000000000001</v>
      </c>
      <c r="E495" s="209">
        <v>41227.9</v>
      </c>
      <c r="F495" s="210">
        <v>0.124069</v>
      </c>
      <c r="G495" s="232"/>
      <c r="H495" s="193" t="s">
        <v>1239</v>
      </c>
      <c r="I495" s="235" cm="1">
        <f t="array" ref="I495">IFERROR(
  AVERAGE(
    _xlfn._xlws.FILTER(
      $F$432:$F$497,
      ($C$432:$C$497 = $H495) * ($F$432:$F$497 &gt; 0)
    )
  ),
  "No matches"
)</f>
        <v>0.14554741666666668</v>
      </c>
      <c r="J495" s="235" cm="1">
        <f t="array" ref="J495">IFERROR(
  AVERAGE(
    _xlfn._xlws.FILTER(
      $D$432:$D$497,
      ($C$432:$C$497 = $H495) * ($D$432:$D$497 &gt; 0)
    )
  ),
  "Zero"
)</f>
        <v>0.14000000000000004</v>
      </c>
    </row>
    <row r="496" spans="1:10" ht="16.5" customHeight="1">
      <c r="A496" s="348"/>
      <c r="B496" s="358"/>
      <c r="C496" s="207" t="s">
        <v>1364</v>
      </c>
      <c r="D496" s="208">
        <v>0.14000000000000001</v>
      </c>
      <c r="E496" s="209">
        <v>185181.1</v>
      </c>
      <c r="F496" s="210">
        <v>0.125387</v>
      </c>
      <c r="G496" s="232"/>
      <c r="H496" s="193" t="s">
        <v>1240</v>
      </c>
      <c r="I496" s="235" cm="1">
        <f t="array" ref="I496">IFERROR(
  AVERAGE(
    _xlfn._xlws.FILTER(
      $F$432:$F$497,
      ($C$432:$C$497 = $H496) * ($F$432:$F$497 &gt; 0)
    )
  ),
  "No matches"
)</f>
        <v>0.13740479999999999</v>
      </c>
      <c r="J496" s="235" cm="1">
        <f t="array" ref="J496">IFERROR(
  AVERAGE(
    _xlfn._xlws.FILTER(
      $D$432:$D$497,
      ($C$432:$C$497 = $H496) * ($D$432:$D$497 &gt; 0)
    )
  ),
  "Zero"
)</f>
        <v>0.13666666666666663</v>
      </c>
    </row>
    <row r="497" spans="1:10" ht="16.5" customHeight="1">
      <c r="A497" s="349"/>
      <c r="B497" s="364"/>
      <c r="C497" s="207" t="s">
        <v>1365</v>
      </c>
      <c r="D497" s="208">
        <v>0.13</v>
      </c>
      <c r="E497" s="209">
        <v>96775</v>
      </c>
      <c r="F497" s="210">
        <v>0.12611</v>
      </c>
      <c r="G497" s="232"/>
      <c r="H497" s="193" t="s">
        <v>1242</v>
      </c>
      <c r="I497" s="235" t="str" cm="1">
        <f t="array" ref="I497">IFERROR(
  AVERAGE(
    _xlfn._xlws.FILTER(
      $F$432:$F$497,
      ($C$432:$C$497 = $H497) * ($F$432:$F$497 &gt; 0)
    )
  ),
  "No matches"
)</f>
        <v>No matches</v>
      </c>
      <c r="J497" s="235" cm="1">
        <f t="array" ref="J497">IFERROR(
  AVERAGE(
    _xlfn._xlws.FILTER(
      $D$432:$D$497,
      ($C$432:$C$497 = $H497) * ($D$432:$D$497 &gt; 0)
    )
  ),
  "Zero"
)</f>
        <v>0.10500000000000001</v>
      </c>
    </row>
    <row r="498" spans="1:10" ht="16.5" customHeight="1">
      <c r="A498" s="206"/>
      <c r="B498" s="206"/>
      <c r="G498" s="232"/>
      <c r="H498" s="459" t="s">
        <v>1246</v>
      </c>
      <c r="I498" s="235" t="str" cm="1">
        <f t="array" ref="I498">IFERROR(
  AVERAGE(
    _xlfn._xlws.FILTER(
      $F$432:$F$497,
      ($C$432:$C$497 = $H498) * ($F$432:$F$497 &gt; 0)
    )
  ),
  "No matches"
)</f>
        <v>No matches</v>
      </c>
      <c r="J498" s="235" cm="1">
        <f t="array" ref="J498">IFERROR(
  AVERAGE(
    _xlfn._xlws.FILTER(
      $D$432:$D$497,
      ($C$432:$C$497 = $H498) * ($D$432:$D$497 &gt; 0)
    )
  ),
  "Zero"
)</f>
        <v>0.11000000000000001</v>
      </c>
    </row>
    <row r="499" spans="1:10" ht="14.65" customHeight="1">
      <c r="A499" s="229"/>
      <c r="B499" s="229"/>
      <c r="C499" s="331" t="s">
        <v>1372</v>
      </c>
      <c r="D499" s="332" t="s">
        <v>1373</v>
      </c>
      <c r="E499" s="212">
        <v>189723</v>
      </c>
      <c r="F499" s="213">
        <v>0.11913799999999999</v>
      </c>
      <c r="G499" s="233"/>
      <c r="I499" s="234">
        <f>AVERAGE(I493:I498)</f>
        <v>0.14169334583333335</v>
      </c>
      <c r="J499" s="234">
        <f>AVERAGE(J493:J498)</f>
        <v>0.126</v>
      </c>
    </row>
    <row r="500" spans="1:10" ht="16.5" customHeight="1">
      <c r="A500" s="368" t="s">
        <v>1380</v>
      </c>
      <c r="B500" s="368" t="s">
        <v>1381</v>
      </c>
      <c r="C500" s="207" t="s">
        <v>1362</v>
      </c>
      <c r="D500" s="208">
        <v>0.12</v>
      </c>
      <c r="E500" s="209">
        <v>93730</v>
      </c>
      <c r="F500" s="210">
        <v>0.118899</v>
      </c>
      <c r="G500" s="230"/>
    </row>
    <row r="501" spans="1:10" ht="16.5" customHeight="1">
      <c r="A501" s="369"/>
      <c r="B501" s="369"/>
      <c r="C501" s="207" t="s">
        <v>1364</v>
      </c>
      <c r="D501" s="208">
        <v>0.12</v>
      </c>
      <c r="E501" s="209">
        <v>119546.1</v>
      </c>
      <c r="F501" s="210">
        <v>0.123709</v>
      </c>
      <c r="G501" s="231"/>
    </row>
    <row r="502" spans="1:10" ht="16.5" customHeight="1">
      <c r="A502" s="369"/>
      <c r="B502" s="369"/>
      <c r="C502" s="207" t="s">
        <v>1365</v>
      </c>
      <c r="D502" s="208">
        <v>0.12</v>
      </c>
      <c r="E502" s="209">
        <v>17712.5</v>
      </c>
      <c r="F502" s="210">
        <v>0.12756600000000001</v>
      </c>
      <c r="G502" s="231"/>
    </row>
    <row r="503" spans="1:10" ht="16.5" customHeight="1">
      <c r="A503" s="370"/>
      <c r="B503" s="370"/>
      <c r="C503" s="207" t="s">
        <v>1382</v>
      </c>
      <c r="D503" s="208">
        <v>0.12</v>
      </c>
      <c r="E503" s="214" t="s">
        <v>1383</v>
      </c>
      <c r="F503" s="211" t="s">
        <v>1383</v>
      </c>
      <c r="G503" s="231"/>
    </row>
    <row r="504" spans="1:10" ht="14.65" customHeight="1">
      <c r="A504" s="226"/>
      <c r="B504" s="226"/>
      <c r="C504" s="226"/>
      <c r="D504" s="226"/>
      <c r="E504" s="226"/>
      <c r="F504" s="228">
        <f>AVERAGEIF(F500:F503,"&gt;0")</f>
        <v>0.12339133333333334</v>
      </c>
      <c r="G504" s="231"/>
    </row>
    <row r="505" spans="1:10" ht="16.5" customHeight="1">
      <c r="A505" s="347" t="s">
        <v>1384</v>
      </c>
      <c r="B505" s="353" t="s">
        <v>1385</v>
      </c>
      <c r="C505" s="207" t="s">
        <v>1372</v>
      </c>
      <c r="D505" s="211" t="s">
        <v>1373</v>
      </c>
      <c r="E505" s="209">
        <v>95236.6</v>
      </c>
      <c r="F505" s="210">
        <v>0.11688800000000001</v>
      </c>
      <c r="G505" s="231"/>
    </row>
    <row r="506" spans="1:10" ht="16.5" customHeight="1">
      <c r="A506" s="348"/>
      <c r="B506" s="354"/>
      <c r="C506" s="207" t="s">
        <v>1362</v>
      </c>
      <c r="D506" s="208">
        <v>0.12</v>
      </c>
      <c r="E506" s="209">
        <v>7623</v>
      </c>
      <c r="F506" s="210">
        <v>0.11708499999999999</v>
      </c>
      <c r="G506" s="231"/>
    </row>
    <row r="507" spans="1:10" ht="16.5" customHeight="1">
      <c r="A507" s="348"/>
      <c r="B507" s="354"/>
      <c r="C507" s="207" t="s">
        <v>1364</v>
      </c>
      <c r="D507" s="208">
        <v>0.12</v>
      </c>
      <c r="E507" s="209">
        <v>242422</v>
      </c>
      <c r="F507" s="210">
        <v>0.12360699999999999</v>
      </c>
      <c r="G507" s="231"/>
    </row>
    <row r="508" spans="1:10" ht="16.5" customHeight="1">
      <c r="A508" s="348"/>
      <c r="B508" s="354"/>
      <c r="C508" s="207" t="s">
        <v>1365</v>
      </c>
      <c r="D508" s="208">
        <v>0.12</v>
      </c>
      <c r="E508" s="209">
        <v>131080</v>
      </c>
      <c r="F508" s="210">
        <v>0.12654599999999999</v>
      </c>
      <c r="G508" s="231"/>
    </row>
    <row r="509" spans="1:10" ht="16.5" customHeight="1">
      <c r="A509" s="349"/>
      <c r="B509" s="355"/>
      <c r="C509" s="207" t="s">
        <v>1382</v>
      </c>
      <c r="D509" s="208">
        <v>0.12</v>
      </c>
      <c r="E509" s="214" t="s">
        <v>1383</v>
      </c>
      <c r="F509" s="211" t="s">
        <v>1383</v>
      </c>
      <c r="G509" s="231"/>
    </row>
    <row r="510" spans="1:10" ht="14.65" customHeight="1">
      <c r="A510" s="226"/>
      <c r="B510" s="226"/>
      <c r="C510" s="226"/>
      <c r="D510" s="226"/>
      <c r="E510" s="226"/>
      <c r="F510" s="228">
        <f>AVERAGEIF(F505:F509,"&gt;0")</f>
        <v>0.1210315</v>
      </c>
      <c r="G510" s="231"/>
    </row>
    <row r="511" spans="1:10" ht="16.5" customHeight="1">
      <c r="A511" s="347" t="s">
        <v>1386</v>
      </c>
      <c r="B511" s="350" t="s">
        <v>1387</v>
      </c>
      <c r="C511" s="207" t="s">
        <v>1372</v>
      </c>
      <c r="D511" s="211" t="s">
        <v>1373</v>
      </c>
      <c r="E511" s="359" t="s">
        <v>1288</v>
      </c>
      <c r="F511" s="360"/>
      <c r="G511" s="231"/>
    </row>
    <row r="512" spans="1:10" ht="16.5" customHeight="1">
      <c r="A512" s="348"/>
      <c r="B512" s="351"/>
      <c r="C512" s="207" t="s">
        <v>1362</v>
      </c>
      <c r="D512" s="208">
        <v>0.12</v>
      </c>
      <c r="E512" s="359" t="s">
        <v>1288</v>
      </c>
      <c r="F512" s="360"/>
      <c r="G512" s="231"/>
    </row>
    <row r="513" spans="1:7" ht="16.5" customHeight="1">
      <c r="A513" s="348"/>
      <c r="B513" s="351"/>
      <c r="C513" s="207" t="s">
        <v>1364</v>
      </c>
      <c r="D513" s="208">
        <v>0.12</v>
      </c>
      <c r="E513" s="209">
        <v>6020</v>
      </c>
      <c r="F513" s="210">
        <v>0.123595</v>
      </c>
      <c r="G513" s="231"/>
    </row>
    <row r="514" spans="1:7" ht="16.5" customHeight="1">
      <c r="A514" s="348"/>
      <c r="B514" s="351"/>
      <c r="C514" s="207" t="s">
        <v>1365</v>
      </c>
      <c r="D514" s="208">
        <v>0.12</v>
      </c>
      <c r="E514" s="209">
        <v>9802</v>
      </c>
      <c r="F514" s="210">
        <v>0.127635</v>
      </c>
      <c r="G514" s="231"/>
    </row>
    <row r="515" spans="1:7" ht="16.5" customHeight="1">
      <c r="A515" s="349"/>
      <c r="B515" s="352"/>
      <c r="C515" s="207" t="s">
        <v>1382</v>
      </c>
      <c r="D515" s="208">
        <v>0.12</v>
      </c>
      <c r="E515" s="359" t="s">
        <v>1288</v>
      </c>
      <c r="F515" s="360"/>
      <c r="G515" s="231"/>
    </row>
    <row r="516" spans="1:7" ht="14.65" customHeight="1">
      <c r="A516" s="226"/>
      <c r="B516" s="226"/>
      <c r="C516" s="226"/>
      <c r="D516" s="226"/>
      <c r="E516" s="226"/>
      <c r="F516" s="228">
        <f>AVERAGEIF(F511:F515,"&gt;0")</f>
        <v>0.125615</v>
      </c>
      <c r="G516" s="231"/>
    </row>
    <row r="517" spans="1:7" ht="16.5" customHeight="1">
      <c r="A517" s="347" t="s">
        <v>1388</v>
      </c>
      <c r="B517" s="350" t="s">
        <v>1389</v>
      </c>
      <c r="C517" s="207" t="s">
        <v>1372</v>
      </c>
      <c r="D517" s="211" t="s">
        <v>1373</v>
      </c>
      <c r="E517" s="209">
        <v>41615</v>
      </c>
      <c r="F517" s="210">
        <v>0.118965</v>
      </c>
      <c r="G517" s="231"/>
    </row>
    <row r="518" spans="1:7" ht="16.5" customHeight="1">
      <c r="A518" s="348"/>
      <c r="B518" s="351"/>
      <c r="C518" s="207" t="s">
        <v>1362</v>
      </c>
      <c r="D518" s="208">
        <v>0.12</v>
      </c>
      <c r="E518" s="209">
        <v>38582.1</v>
      </c>
      <c r="F518" s="210">
        <v>0.118603</v>
      </c>
      <c r="G518" s="231"/>
    </row>
    <row r="519" spans="1:7" ht="16.5" customHeight="1">
      <c r="A519" s="348"/>
      <c r="B519" s="351"/>
      <c r="C519" s="207" t="s">
        <v>1364</v>
      </c>
      <c r="D519" s="208">
        <v>0.12</v>
      </c>
      <c r="E519" s="209">
        <v>98548</v>
      </c>
      <c r="F519" s="210">
        <v>0.12285</v>
      </c>
      <c r="G519" s="231"/>
    </row>
    <row r="520" spans="1:7" ht="16.5" customHeight="1">
      <c r="A520" s="348"/>
      <c r="B520" s="351"/>
      <c r="C520" s="207" t="s">
        <v>1365</v>
      </c>
      <c r="D520" s="208">
        <v>0.12</v>
      </c>
      <c r="E520" s="209">
        <v>248386</v>
      </c>
      <c r="F520" s="210">
        <v>0.127832</v>
      </c>
      <c r="G520" s="231"/>
    </row>
    <row r="521" spans="1:7" ht="16.5" customHeight="1">
      <c r="A521" s="349"/>
      <c r="B521" s="352"/>
      <c r="C521" s="207" t="s">
        <v>1382</v>
      </c>
      <c r="D521" s="208">
        <v>0.12</v>
      </c>
      <c r="E521" s="359" t="s">
        <v>1288</v>
      </c>
      <c r="F521" s="360"/>
      <c r="G521" s="231"/>
    </row>
    <row r="522" spans="1:7" ht="14.65" customHeight="1">
      <c r="A522" s="226"/>
      <c r="B522" s="226"/>
      <c r="C522" s="226"/>
      <c r="D522" s="226"/>
      <c r="E522" s="226"/>
      <c r="F522" s="228">
        <f>AVERAGEIF(F517:F521,"&gt;0")</f>
        <v>0.1220625</v>
      </c>
      <c r="G522" s="231"/>
    </row>
    <row r="523" spans="1:7" ht="16.5" customHeight="1">
      <c r="A523" s="347" t="s">
        <v>1390</v>
      </c>
      <c r="B523" s="361" t="s">
        <v>1391</v>
      </c>
      <c r="C523" s="207" t="s">
        <v>1372</v>
      </c>
      <c r="D523" s="211" t="s">
        <v>1373</v>
      </c>
      <c r="E523" s="209">
        <v>105591.4</v>
      </c>
      <c r="F523" s="210">
        <v>0.116427</v>
      </c>
      <c r="G523" s="231"/>
    </row>
    <row r="524" spans="1:7" ht="16.5" customHeight="1">
      <c r="A524" s="348"/>
      <c r="B524" s="362"/>
      <c r="C524" s="207" t="s">
        <v>1362</v>
      </c>
      <c r="D524" s="208">
        <v>0.12</v>
      </c>
      <c r="E524" s="209">
        <v>71762.7</v>
      </c>
      <c r="F524" s="210">
        <v>0.116524</v>
      </c>
      <c r="G524" s="231"/>
    </row>
    <row r="525" spans="1:7" ht="16.5" customHeight="1">
      <c r="A525" s="348"/>
      <c r="B525" s="362"/>
      <c r="C525" s="207" t="s">
        <v>1364</v>
      </c>
      <c r="D525" s="208">
        <v>0.12</v>
      </c>
      <c r="E525" s="209">
        <v>69145</v>
      </c>
      <c r="F525" s="210">
        <v>0.121111</v>
      </c>
      <c r="G525" s="231"/>
    </row>
    <row r="526" spans="1:7" ht="16.5" customHeight="1">
      <c r="A526" s="348"/>
      <c r="B526" s="362"/>
      <c r="C526" s="207" t="s">
        <v>1365</v>
      </c>
      <c r="D526" s="208">
        <v>0.12</v>
      </c>
      <c r="E526" s="209">
        <v>53020</v>
      </c>
      <c r="F526" s="210">
        <v>0.12534000000000001</v>
      </c>
      <c r="G526" s="231"/>
    </row>
    <row r="527" spans="1:7" ht="16.5" customHeight="1">
      <c r="A527" s="349"/>
      <c r="B527" s="363"/>
      <c r="C527" s="207" t="s">
        <v>1382</v>
      </c>
      <c r="D527" s="208">
        <v>0.12</v>
      </c>
      <c r="E527" s="359" t="s">
        <v>1288</v>
      </c>
      <c r="F527" s="360"/>
      <c r="G527" s="231"/>
    </row>
    <row r="528" spans="1:7" ht="16.5" customHeight="1">
      <c r="A528" s="219"/>
      <c r="B528" s="220"/>
      <c r="C528" s="221"/>
      <c r="D528" s="222"/>
      <c r="E528" s="223"/>
      <c r="F528" s="228">
        <f>AVERAGEIF(F523:F527,"&gt;0")</f>
        <v>0.1198505</v>
      </c>
      <c r="G528" s="231"/>
    </row>
    <row r="529" spans="1:7" ht="14.65" customHeight="1">
      <c r="A529" s="356"/>
      <c r="B529" s="356"/>
      <c r="C529" s="356"/>
      <c r="D529" s="356"/>
      <c r="E529" s="356"/>
      <c r="F529" s="356"/>
      <c r="G529" s="231"/>
    </row>
    <row r="530" spans="1:7" ht="16.5" customHeight="1">
      <c r="A530" s="347" t="s">
        <v>1392</v>
      </c>
      <c r="B530" s="350" t="s">
        <v>1393</v>
      </c>
      <c r="C530" s="207" t="s">
        <v>1372</v>
      </c>
      <c r="D530" s="211" t="s">
        <v>1373</v>
      </c>
      <c r="E530" s="209">
        <v>63135</v>
      </c>
      <c r="F530" s="210">
        <v>0.113581</v>
      </c>
      <c r="G530" s="231"/>
    </row>
    <row r="531" spans="1:7" ht="16.5" customHeight="1">
      <c r="A531" s="348"/>
      <c r="B531" s="351"/>
      <c r="C531" s="207" t="s">
        <v>1362</v>
      </c>
      <c r="D531" s="208">
        <v>0.12</v>
      </c>
      <c r="E531" s="209">
        <v>37013</v>
      </c>
      <c r="F531" s="210">
        <v>0.113747</v>
      </c>
      <c r="G531" s="231"/>
    </row>
    <row r="532" spans="1:7" ht="16.5" customHeight="1">
      <c r="A532" s="348"/>
      <c r="B532" s="351"/>
      <c r="C532" s="207" t="s">
        <v>1364</v>
      </c>
      <c r="D532" s="208">
        <v>0.12</v>
      </c>
      <c r="E532" s="209">
        <v>130433</v>
      </c>
      <c r="F532" s="210">
        <v>0.11692900000000001</v>
      </c>
      <c r="G532" s="231"/>
    </row>
    <row r="533" spans="1:7" ht="16.5" customHeight="1">
      <c r="A533" s="348"/>
      <c r="B533" s="351"/>
      <c r="C533" s="207" t="s">
        <v>1365</v>
      </c>
      <c r="D533" s="208">
        <v>0.12</v>
      </c>
      <c r="E533" s="209">
        <v>38197.1</v>
      </c>
      <c r="F533" s="210">
        <v>0.123899</v>
      </c>
      <c r="G533" s="231"/>
    </row>
    <row r="534" spans="1:7" ht="16.5" customHeight="1">
      <c r="A534" s="349"/>
      <c r="B534" s="352"/>
      <c r="C534" s="207" t="s">
        <v>1382</v>
      </c>
      <c r="D534" s="211" t="s">
        <v>1373</v>
      </c>
      <c r="E534" s="209">
        <v>288000</v>
      </c>
      <c r="F534" s="210">
        <v>0.127</v>
      </c>
      <c r="G534" s="231"/>
    </row>
    <row r="535" spans="1:7" ht="14.65" customHeight="1">
      <c r="A535" s="226"/>
      <c r="B535" s="226"/>
      <c r="C535" s="226"/>
      <c r="D535" s="226"/>
      <c r="E535" s="226"/>
      <c r="F535" s="228">
        <f>AVERAGEIF(F530:F534,"&gt;0")</f>
        <v>0.1190312</v>
      </c>
      <c r="G535" s="231"/>
    </row>
    <row r="536" spans="1:7" ht="16.5" customHeight="1">
      <c r="A536" s="357" t="s">
        <v>1394</v>
      </c>
      <c r="B536" s="350" t="s">
        <v>1395</v>
      </c>
      <c r="C536" s="207" t="s">
        <v>1372</v>
      </c>
      <c r="D536" s="211" t="s">
        <v>1373</v>
      </c>
      <c r="E536" s="209">
        <v>39267.9</v>
      </c>
      <c r="F536" s="210">
        <v>0.108222</v>
      </c>
      <c r="G536" s="231"/>
    </row>
    <row r="537" spans="1:7" ht="16.5" customHeight="1">
      <c r="A537" s="358"/>
      <c r="B537" s="351"/>
      <c r="C537" s="207" t="s">
        <v>1362</v>
      </c>
      <c r="D537" s="208">
        <v>0.105</v>
      </c>
      <c r="E537" s="209">
        <v>41765.199999999997</v>
      </c>
      <c r="F537" s="210">
        <v>0.11004</v>
      </c>
      <c r="G537" s="231"/>
    </row>
    <row r="538" spans="1:7" ht="16.5" customHeight="1">
      <c r="A538" s="358"/>
      <c r="B538" s="351"/>
      <c r="C538" s="207" t="s">
        <v>1364</v>
      </c>
      <c r="D538" s="208">
        <v>0.11</v>
      </c>
      <c r="E538" s="209">
        <v>254840</v>
      </c>
      <c r="F538" s="210">
        <v>0.11291900000000001</v>
      </c>
      <c r="G538" s="231"/>
    </row>
    <row r="539" spans="1:7" ht="16.5" customHeight="1">
      <c r="A539" s="358"/>
      <c r="B539" s="351"/>
      <c r="C539" s="331" t="s">
        <v>1365</v>
      </c>
      <c r="D539" s="215">
        <v>0.115</v>
      </c>
      <c r="E539" s="212">
        <v>6449.3</v>
      </c>
      <c r="F539" s="213">
        <v>0.122</v>
      </c>
      <c r="G539" s="231"/>
    </row>
    <row r="540" spans="1:7" ht="30.4" customHeight="1">
      <c r="A540" s="194"/>
      <c r="B540" s="194"/>
      <c r="C540" s="207" t="s">
        <v>1382</v>
      </c>
      <c r="D540" s="211" t="s">
        <v>1373</v>
      </c>
      <c r="E540" s="345" t="s">
        <v>1396</v>
      </c>
      <c r="F540" s="346"/>
      <c r="G540" s="231"/>
    </row>
    <row r="541" spans="1:7" ht="16.149999999999999" customHeight="1">
      <c r="A541" s="325"/>
      <c r="B541" s="325"/>
      <c r="C541" s="216"/>
      <c r="D541" s="224"/>
      <c r="E541" s="225"/>
      <c r="F541" s="228">
        <f>AVERAGEIF(F536:F540,"&gt;0")</f>
        <v>0.11329525</v>
      </c>
      <c r="G541" s="231"/>
    </row>
    <row r="542" spans="1:7" ht="16.5" customHeight="1">
      <c r="A542" s="347" t="s">
        <v>1397</v>
      </c>
      <c r="B542" s="350" t="s">
        <v>1398</v>
      </c>
      <c r="C542" s="216" t="s">
        <v>1372</v>
      </c>
      <c r="D542" s="224" t="s">
        <v>1373</v>
      </c>
      <c r="E542" s="217">
        <v>28040</v>
      </c>
      <c r="F542" s="218">
        <v>0.110537</v>
      </c>
      <c r="G542" s="231"/>
    </row>
    <row r="543" spans="1:7" ht="16.5" customHeight="1">
      <c r="A543" s="348"/>
      <c r="B543" s="351"/>
      <c r="C543" s="207" t="s">
        <v>1362</v>
      </c>
      <c r="D543" s="208">
        <v>0.105</v>
      </c>
      <c r="E543" s="209">
        <v>46840.7</v>
      </c>
      <c r="F543" s="210">
        <v>0.110944</v>
      </c>
      <c r="G543" s="231"/>
    </row>
    <row r="544" spans="1:7" ht="16.5" customHeight="1">
      <c r="A544" s="348"/>
      <c r="B544" s="351"/>
      <c r="C544" s="207" t="s">
        <v>1364</v>
      </c>
      <c r="D544" s="208">
        <v>0.11</v>
      </c>
      <c r="E544" s="209">
        <v>43374.8</v>
      </c>
      <c r="F544" s="210">
        <v>0.11382200000000001</v>
      </c>
      <c r="G544" s="231"/>
    </row>
    <row r="545" spans="1:8" ht="16.5" customHeight="1">
      <c r="A545" s="348"/>
      <c r="B545" s="351"/>
      <c r="C545" s="207" t="s">
        <v>1365</v>
      </c>
      <c r="D545" s="208">
        <v>0.115</v>
      </c>
      <c r="E545" s="209">
        <v>220590.3</v>
      </c>
      <c r="F545" s="210">
        <v>0.12145300000000001</v>
      </c>
      <c r="G545" s="231"/>
    </row>
    <row r="546" spans="1:8" ht="16.5" customHeight="1">
      <c r="A546" s="349"/>
      <c r="B546" s="352"/>
      <c r="C546" s="207" t="s">
        <v>1382</v>
      </c>
      <c r="D546" s="211" t="s">
        <v>1373</v>
      </c>
      <c r="E546" s="209">
        <v>300087.5</v>
      </c>
      <c r="F546" s="210">
        <v>0.124433</v>
      </c>
      <c r="G546" s="231"/>
    </row>
    <row r="547" spans="1:8" ht="14.65" customHeight="1">
      <c r="A547" s="226"/>
      <c r="B547" s="226"/>
      <c r="C547" s="226"/>
      <c r="D547" s="226"/>
      <c r="E547" s="226"/>
      <c r="F547" s="228">
        <f>AVERAGEIF(F542:F546,"&gt;0")</f>
        <v>0.11623780000000002</v>
      </c>
      <c r="G547" s="231"/>
    </row>
    <row r="548" spans="1:8" ht="16.5" customHeight="1">
      <c r="A548" s="347" t="s">
        <v>1399</v>
      </c>
      <c r="B548" s="353" t="s">
        <v>1400</v>
      </c>
      <c r="C548" s="207" t="s">
        <v>1372</v>
      </c>
      <c r="D548" s="211" t="s">
        <v>1373</v>
      </c>
      <c r="E548" s="209">
        <v>43289</v>
      </c>
      <c r="F548" s="210">
        <v>0.111566</v>
      </c>
      <c r="G548" s="231"/>
      <c r="H548" s="193" t="s">
        <v>1235</v>
      </c>
    </row>
    <row r="549" spans="1:8" ht="16.5" customHeight="1">
      <c r="A549" s="348"/>
      <c r="B549" s="354"/>
      <c r="C549" s="207" t="s">
        <v>1362</v>
      </c>
      <c r="D549" s="208">
        <v>0.105</v>
      </c>
      <c r="E549" s="209">
        <v>8145.4</v>
      </c>
      <c r="F549" s="210">
        <v>0.111114</v>
      </c>
      <c r="G549" s="231"/>
      <c r="H549" s="193" t="s">
        <v>1238</v>
      </c>
    </row>
    <row r="550" spans="1:8" ht="16.5" customHeight="1">
      <c r="A550" s="348"/>
      <c r="B550" s="354"/>
      <c r="C550" s="207" t="s">
        <v>1364</v>
      </c>
      <c r="D550" s="208">
        <v>0.11</v>
      </c>
      <c r="E550" s="209">
        <v>114993.60000000001</v>
      </c>
      <c r="F550" s="210">
        <v>0.11411499999999999</v>
      </c>
      <c r="G550" s="231"/>
      <c r="H550" s="193" t="s">
        <v>1239</v>
      </c>
    </row>
    <row r="551" spans="1:8" ht="16.5" customHeight="1">
      <c r="A551" s="348"/>
      <c r="B551" s="354"/>
      <c r="C551" s="207" t="s">
        <v>1365</v>
      </c>
      <c r="D551" s="208">
        <v>0.115</v>
      </c>
      <c r="E551" s="209">
        <v>207855.3</v>
      </c>
      <c r="F551" s="210">
        <v>0.120058</v>
      </c>
      <c r="G551" s="231"/>
      <c r="H551" s="193" t="s">
        <v>1240</v>
      </c>
    </row>
    <row r="552" spans="1:8" ht="16.5" customHeight="1">
      <c r="A552" s="349"/>
      <c r="B552" s="355"/>
      <c r="C552" s="207" t="s">
        <v>1382</v>
      </c>
      <c r="D552" s="211" t="s">
        <v>1373</v>
      </c>
      <c r="E552" s="209">
        <v>280000</v>
      </c>
      <c r="F552" s="210">
        <v>0.12379999999999999</v>
      </c>
      <c r="G552" s="231"/>
      <c r="H552" s="193" t="s">
        <v>1242</v>
      </c>
    </row>
    <row r="553" spans="1:8" ht="13.9" customHeight="1">
      <c r="A553" s="227"/>
      <c r="B553" s="227"/>
      <c r="C553" s="227"/>
      <c r="D553" s="227"/>
      <c r="E553" s="227"/>
      <c r="F553" s="228">
        <f>AVERAGEIF(F548:F552,"&gt;0")</f>
        <v>0.1161306</v>
      </c>
      <c r="G553" s="231"/>
      <c r="H553" s="459" t="s">
        <v>1246</v>
      </c>
    </row>
  </sheetData>
  <mergeCells count="417">
    <mergeCell ref="A1:F1"/>
    <mergeCell ref="A2:F2"/>
    <mergeCell ref="A3:F3"/>
    <mergeCell ref="A5:F5"/>
    <mergeCell ref="A6:A7"/>
    <mergeCell ref="B6:B7"/>
    <mergeCell ref="A18:F18"/>
    <mergeCell ref="A19:A22"/>
    <mergeCell ref="B19:B22"/>
    <mergeCell ref="E19:F19"/>
    <mergeCell ref="E21:F21"/>
    <mergeCell ref="E22:F22"/>
    <mergeCell ref="A8:F8"/>
    <mergeCell ref="A9:A12"/>
    <mergeCell ref="B9:B12"/>
    <mergeCell ref="A13:F13"/>
    <mergeCell ref="A14:A17"/>
    <mergeCell ref="B14:B17"/>
    <mergeCell ref="E14:F14"/>
    <mergeCell ref="E15:F15"/>
    <mergeCell ref="E16:F17"/>
    <mergeCell ref="A28:F28"/>
    <mergeCell ref="A29:A32"/>
    <mergeCell ref="B29:B32"/>
    <mergeCell ref="E29:F29"/>
    <mergeCell ref="E30:F30"/>
    <mergeCell ref="E31:F31"/>
    <mergeCell ref="E32:F32"/>
    <mergeCell ref="A23:F23"/>
    <mergeCell ref="A24:A27"/>
    <mergeCell ref="B24:B27"/>
    <mergeCell ref="E24:F24"/>
    <mergeCell ref="E26:F26"/>
    <mergeCell ref="E27:F27"/>
    <mergeCell ref="A38:F38"/>
    <mergeCell ref="A39:A42"/>
    <mergeCell ref="B39:B42"/>
    <mergeCell ref="E42:F42"/>
    <mergeCell ref="A43:F43"/>
    <mergeCell ref="A33:F33"/>
    <mergeCell ref="A34:A37"/>
    <mergeCell ref="B34:B37"/>
    <mergeCell ref="E34:F34"/>
    <mergeCell ref="E35:F35"/>
    <mergeCell ref="E36:F36"/>
    <mergeCell ref="E37:F37"/>
    <mergeCell ref="A53:F53"/>
    <mergeCell ref="A54:A57"/>
    <mergeCell ref="B54:B57"/>
    <mergeCell ref="E57:F57"/>
    <mergeCell ref="A58:F58"/>
    <mergeCell ref="A59:A62"/>
    <mergeCell ref="B59:B62"/>
    <mergeCell ref="E62:F62"/>
    <mergeCell ref="A44:A47"/>
    <mergeCell ref="B44:B47"/>
    <mergeCell ref="A48:F48"/>
    <mergeCell ref="A49:A52"/>
    <mergeCell ref="B49:B52"/>
    <mergeCell ref="E52:F52"/>
    <mergeCell ref="A73:F73"/>
    <mergeCell ref="A74:A76"/>
    <mergeCell ref="B74:B76"/>
    <mergeCell ref="E77:F77"/>
    <mergeCell ref="A78:F78"/>
    <mergeCell ref="A63:F63"/>
    <mergeCell ref="A64:A67"/>
    <mergeCell ref="B64:B67"/>
    <mergeCell ref="E67:F67"/>
    <mergeCell ref="A68:F68"/>
    <mergeCell ref="A69:A72"/>
    <mergeCell ref="B69:B72"/>
    <mergeCell ref="E72:F72"/>
    <mergeCell ref="A88:F88"/>
    <mergeCell ref="A89:A92"/>
    <mergeCell ref="B89:B92"/>
    <mergeCell ref="A93:F93"/>
    <mergeCell ref="A94:A97"/>
    <mergeCell ref="B94:B97"/>
    <mergeCell ref="A79:A82"/>
    <mergeCell ref="B79:B82"/>
    <mergeCell ref="A83:F83"/>
    <mergeCell ref="A84:A87"/>
    <mergeCell ref="B84:B87"/>
    <mergeCell ref="A115:F115"/>
    <mergeCell ref="A116:A118"/>
    <mergeCell ref="B116:B118"/>
    <mergeCell ref="A120:A124"/>
    <mergeCell ref="B120:B124"/>
    <mergeCell ref="A126:A130"/>
    <mergeCell ref="B126:B130"/>
    <mergeCell ref="A98:F98"/>
    <mergeCell ref="A99:A102"/>
    <mergeCell ref="B99:B102"/>
    <mergeCell ref="A104:A107"/>
    <mergeCell ref="B104:B107"/>
    <mergeCell ref="A109:A112"/>
    <mergeCell ref="B109:B112"/>
    <mergeCell ref="A150:A154"/>
    <mergeCell ref="B150:B154"/>
    <mergeCell ref="A156:A160"/>
    <mergeCell ref="B156:B160"/>
    <mergeCell ref="A132:A136"/>
    <mergeCell ref="B132:B136"/>
    <mergeCell ref="A138:A142"/>
    <mergeCell ref="B138:B142"/>
    <mergeCell ref="A144:A148"/>
    <mergeCell ref="B144:B148"/>
    <mergeCell ref="A174:A179"/>
    <mergeCell ref="B174:B179"/>
    <mergeCell ref="E179:F179"/>
    <mergeCell ref="A181:A186"/>
    <mergeCell ref="B181:B186"/>
    <mergeCell ref="E184:F184"/>
    <mergeCell ref="E186:F186"/>
    <mergeCell ref="A162:A166"/>
    <mergeCell ref="B162:B166"/>
    <mergeCell ref="A168:A172"/>
    <mergeCell ref="B168:B172"/>
    <mergeCell ref="A196:A201"/>
    <mergeCell ref="B196:B201"/>
    <mergeCell ref="E201:F201"/>
    <mergeCell ref="A203:A208"/>
    <mergeCell ref="B203:B208"/>
    <mergeCell ref="E208:F208"/>
    <mergeCell ref="A188:F188"/>
    <mergeCell ref="A189:A194"/>
    <mergeCell ref="B189:B194"/>
    <mergeCell ref="E192:F192"/>
    <mergeCell ref="E193:F193"/>
    <mergeCell ref="E194:F194"/>
    <mergeCell ref="A210:A215"/>
    <mergeCell ref="B210:B215"/>
    <mergeCell ref="E213:F213"/>
    <mergeCell ref="E214:F214"/>
    <mergeCell ref="E215:F215"/>
    <mergeCell ref="A217:A222"/>
    <mergeCell ref="B217:B222"/>
    <mergeCell ref="E219:F219"/>
    <mergeCell ref="E221:F221"/>
    <mergeCell ref="E222:F222"/>
    <mergeCell ref="A224:A229"/>
    <mergeCell ref="B224:B229"/>
    <mergeCell ref="E228:F228"/>
    <mergeCell ref="E229:F229"/>
    <mergeCell ref="A231:F231"/>
    <mergeCell ref="A232:A237"/>
    <mergeCell ref="B232:B237"/>
    <mergeCell ref="E236:F236"/>
    <mergeCell ref="E237:F237"/>
    <mergeCell ref="A238:F238"/>
    <mergeCell ref="A239:A244"/>
    <mergeCell ref="B239:B244"/>
    <mergeCell ref="E239:F239"/>
    <mergeCell ref="E240:F240"/>
    <mergeCell ref="E241:F241"/>
    <mergeCell ref="E242:F242"/>
    <mergeCell ref="E243:F243"/>
    <mergeCell ref="E244:F244"/>
    <mergeCell ref="A252:F252"/>
    <mergeCell ref="A253:A258"/>
    <mergeCell ref="B253:B258"/>
    <mergeCell ref="E256:F256"/>
    <mergeCell ref="E257:F257"/>
    <mergeCell ref="E258:F258"/>
    <mergeCell ref="A245:F245"/>
    <mergeCell ref="A246:A251"/>
    <mergeCell ref="B246:B251"/>
    <mergeCell ref="E249:F249"/>
    <mergeCell ref="E250:F250"/>
    <mergeCell ref="E251:F251"/>
    <mergeCell ref="A266:F266"/>
    <mergeCell ref="A267:A272"/>
    <mergeCell ref="B267:B272"/>
    <mergeCell ref="E270:F270"/>
    <mergeCell ref="E271:F271"/>
    <mergeCell ref="E272:F272"/>
    <mergeCell ref="A259:F259"/>
    <mergeCell ref="A260:A265"/>
    <mergeCell ref="B260:B265"/>
    <mergeCell ref="E263:F263"/>
    <mergeCell ref="E264:F264"/>
    <mergeCell ref="E265:F265"/>
    <mergeCell ref="A280:F280"/>
    <mergeCell ref="A281:A286"/>
    <mergeCell ref="B281:B286"/>
    <mergeCell ref="E284:F284"/>
    <mergeCell ref="E285:F285"/>
    <mergeCell ref="E286:F286"/>
    <mergeCell ref="A273:F273"/>
    <mergeCell ref="A274:A279"/>
    <mergeCell ref="B274:B279"/>
    <mergeCell ref="E277:F277"/>
    <mergeCell ref="E278:F278"/>
    <mergeCell ref="E279:F279"/>
    <mergeCell ref="A294:F294"/>
    <mergeCell ref="A295:A300"/>
    <mergeCell ref="B295:B300"/>
    <mergeCell ref="E298:F298"/>
    <mergeCell ref="E299:F299"/>
    <mergeCell ref="E300:F300"/>
    <mergeCell ref="A287:F287"/>
    <mergeCell ref="A288:A293"/>
    <mergeCell ref="B288:B293"/>
    <mergeCell ref="E290:F290"/>
    <mergeCell ref="E291:F291"/>
    <mergeCell ref="E292:F292"/>
    <mergeCell ref="E293:F293"/>
    <mergeCell ref="A308:F308"/>
    <mergeCell ref="A309:A312"/>
    <mergeCell ref="B309:B312"/>
    <mergeCell ref="E311:F311"/>
    <mergeCell ref="E312:F312"/>
    <mergeCell ref="A301:F301"/>
    <mergeCell ref="A302:A307"/>
    <mergeCell ref="B302:B307"/>
    <mergeCell ref="E304:F304"/>
    <mergeCell ref="E305:F305"/>
    <mergeCell ref="E306:F306"/>
    <mergeCell ref="E307:F307"/>
    <mergeCell ref="A317:A322"/>
    <mergeCell ref="B317:B322"/>
    <mergeCell ref="E320:F320"/>
    <mergeCell ref="E321:F321"/>
    <mergeCell ref="E322:F322"/>
    <mergeCell ref="A313:F313"/>
    <mergeCell ref="A314:A315"/>
    <mergeCell ref="B314:B315"/>
    <mergeCell ref="E314:F314"/>
    <mergeCell ref="E315:F315"/>
    <mergeCell ref="A316:F316"/>
    <mergeCell ref="A330:F330"/>
    <mergeCell ref="A331:A336"/>
    <mergeCell ref="B331:B336"/>
    <mergeCell ref="E331:F331"/>
    <mergeCell ref="E333:F333"/>
    <mergeCell ref="E334:F334"/>
    <mergeCell ref="E335:F335"/>
    <mergeCell ref="E336:F336"/>
    <mergeCell ref="A324:A329"/>
    <mergeCell ref="B324:B329"/>
    <mergeCell ref="E326:F326"/>
    <mergeCell ref="E327:F327"/>
    <mergeCell ref="E328:F328"/>
    <mergeCell ref="E329:F329"/>
    <mergeCell ref="A344:F344"/>
    <mergeCell ref="A345:A349"/>
    <mergeCell ref="B345:B349"/>
    <mergeCell ref="E345:F345"/>
    <mergeCell ref="E346:F346"/>
    <mergeCell ref="E347:F347"/>
    <mergeCell ref="E348:F348"/>
    <mergeCell ref="E349:F349"/>
    <mergeCell ref="A337:F337"/>
    <mergeCell ref="A338:A343"/>
    <mergeCell ref="B338:B343"/>
    <mergeCell ref="E338:F338"/>
    <mergeCell ref="E339:F339"/>
    <mergeCell ref="E340:F340"/>
    <mergeCell ref="E341:F341"/>
    <mergeCell ref="E342:F342"/>
    <mergeCell ref="E343:F343"/>
    <mergeCell ref="A350:F350"/>
    <mergeCell ref="E351:F351"/>
    <mergeCell ref="A352:F352"/>
    <mergeCell ref="A353:A358"/>
    <mergeCell ref="B353:B358"/>
    <mergeCell ref="E353:F353"/>
    <mergeCell ref="E354:F354"/>
    <mergeCell ref="E355:F355"/>
    <mergeCell ref="E356:F356"/>
    <mergeCell ref="E357:F357"/>
    <mergeCell ref="A366:F366"/>
    <mergeCell ref="A367:A372"/>
    <mergeCell ref="B367:B372"/>
    <mergeCell ref="E368:F368"/>
    <mergeCell ref="E369:F369"/>
    <mergeCell ref="E370:F370"/>
    <mergeCell ref="E371:F371"/>
    <mergeCell ref="E372:F372"/>
    <mergeCell ref="E358:F358"/>
    <mergeCell ref="A359:F359"/>
    <mergeCell ref="A360:A365"/>
    <mergeCell ref="B360:B365"/>
    <mergeCell ref="E362:F362"/>
    <mergeCell ref="E363:F363"/>
    <mergeCell ref="E364:F364"/>
    <mergeCell ref="E365:F365"/>
    <mergeCell ref="A380:F380"/>
    <mergeCell ref="A381:A386"/>
    <mergeCell ref="B381:B386"/>
    <mergeCell ref="E382:F382"/>
    <mergeCell ref="E383:F383"/>
    <mergeCell ref="E384:F384"/>
    <mergeCell ref="E385:F385"/>
    <mergeCell ref="E386:F386"/>
    <mergeCell ref="A373:F373"/>
    <mergeCell ref="A374:A379"/>
    <mergeCell ref="B374:B379"/>
    <mergeCell ref="E375:F375"/>
    <mergeCell ref="E376:F376"/>
    <mergeCell ref="E377:F377"/>
    <mergeCell ref="E378:F378"/>
    <mergeCell ref="E379:F379"/>
    <mergeCell ref="A391:A394"/>
    <mergeCell ref="B391:B394"/>
    <mergeCell ref="E391:F391"/>
    <mergeCell ref="E392:F392"/>
    <mergeCell ref="E393:F393"/>
    <mergeCell ref="E394:F394"/>
    <mergeCell ref="A387:F387"/>
    <mergeCell ref="A388:A389"/>
    <mergeCell ref="B388:B389"/>
    <mergeCell ref="E389:F389"/>
    <mergeCell ref="A390:F390"/>
    <mergeCell ref="A402:F402"/>
    <mergeCell ref="A403:A408"/>
    <mergeCell ref="B403:B408"/>
    <mergeCell ref="E406:F406"/>
    <mergeCell ref="E407:F407"/>
    <mergeCell ref="E408:F408"/>
    <mergeCell ref="A395:F395"/>
    <mergeCell ref="A396:A401"/>
    <mergeCell ref="B396:B401"/>
    <mergeCell ref="E398:F398"/>
    <mergeCell ref="E399:F399"/>
    <mergeCell ref="E400:F400"/>
    <mergeCell ref="E401:F401"/>
    <mergeCell ref="A416:F416"/>
    <mergeCell ref="A417:A422"/>
    <mergeCell ref="B417:B422"/>
    <mergeCell ref="E420:F420"/>
    <mergeCell ref="E421:F421"/>
    <mergeCell ref="E422:F422"/>
    <mergeCell ref="A409:F409"/>
    <mergeCell ref="A410:A415"/>
    <mergeCell ref="B410:B415"/>
    <mergeCell ref="E413:F413"/>
    <mergeCell ref="E414:F414"/>
    <mergeCell ref="E415:F415"/>
    <mergeCell ref="A430:F430"/>
    <mergeCell ref="A431:F431"/>
    <mergeCell ref="A432:A437"/>
    <mergeCell ref="B432:B437"/>
    <mergeCell ref="E435:F435"/>
    <mergeCell ref="E436:F436"/>
    <mergeCell ref="E437:F437"/>
    <mergeCell ref="A423:F423"/>
    <mergeCell ref="A424:A429"/>
    <mergeCell ref="B424:B429"/>
    <mergeCell ref="E427:F427"/>
    <mergeCell ref="E428:F428"/>
    <mergeCell ref="E429:F429"/>
    <mergeCell ref="A445:F445"/>
    <mergeCell ref="A446:A451"/>
    <mergeCell ref="B446:B451"/>
    <mergeCell ref="E449:F449"/>
    <mergeCell ref="E450:F450"/>
    <mergeCell ref="E451:F451"/>
    <mergeCell ref="A438:F438"/>
    <mergeCell ref="A439:A444"/>
    <mergeCell ref="B439:B444"/>
    <mergeCell ref="E442:F442"/>
    <mergeCell ref="E443:F443"/>
    <mergeCell ref="E444:F444"/>
    <mergeCell ref="A460:A465"/>
    <mergeCell ref="B460:B465"/>
    <mergeCell ref="E463:F463"/>
    <mergeCell ref="E464:F464"/>
    <mergeCell ref="E465:F465"/>
    <mergeCell ref="A452:F452"/>
    <mergeCell ref="A453:A458"/>
    <mergeCell ref="B453:B458"/>
    <mergeCell ref="E456:F456"/>
    <mergeCell ref="E457:F457"/>
    <mergeCell ref="E458:F458"/>
    <mergeCell ref="A471:A473"/>
    <mergeCell ref="B471:B473"/>
    <mergeCell ref="E473:F473"/>
    <mergeCell ref="A475:A477"/>
    <mergeCell ref="B475:B477"/>
    <mergeCell ref="E477:F477"/>
    <mergeCell ref="A467:A469"/>
    <mergeCell ref="B467:B469"/>
    <mergeCell ref="A500:A503"/>
    <mergeCell ref="B500:B503"/>
    <mergeCell ref="A489:A492"/>
    <mergeCell ref="B489:B492"/>
    <mergeCell ref="A494:A497"/>
    <mergeCell ref="B494:B497"/>
    <mergeCell ref="A479:A482"/>
    <mergeCell ref="B479:B482"/>
    <mergeCell ref="A484:A487"/>
    <mergeCell ref="B484:B487"/>
    <mergeCell ref="A517:A521"/>
    <mergeCell ref="B517:B521"/>
    <mergeCell ref="E521:F521"/>
    <mergeCell ref="A523:A527"/>
    <mergeCell ref="B523:B527"/>
    <mergeCell ref="E527:F527"/>
    <mergeCell ref="A505:A509"/>
    <mergeCell ref="B505:B509"/>
    <mergeCell ref="A511:A515"/>
    <mergeCell ref="B511:B515"/>
    <mergeCell ref="E511:F511"/>
    <mergeCell ref="E512:F512"/>
    <mergeCell ref="E515:F515"/>
    <mergeCell ref="E540:F540"/>
    <mergeCell ref="A542:A546"/>
    <mergeCell ref="B542:B546"/>
    <mergeCell ref="A548:A552"/>
    <mergeCell ref="B548:B552"/>
    <mergeCell ref="A529:F529"/>
    <mergeCell ref="A530:A534"/>
    <mergeCell ref="B530:B534"/>
    <mergeCell ref="A536:A539"/>
    <mergeCell ref="B536:B539"/>
  </mergeCells>
  <phoneticPr fontId="3"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F03D2-1642-4443-B056-9AA2AC2826DF}">
  <dimension ref="A1:U27"/>
  <sheetViews>
    <sheetView workbookViewId="0">
      <selection activeCell="U14" sqref="U14"/>
    </sheetView>
  </sheetViews>
  <sheetFormatPr defaultRowHeight="14.45"/>
  <cols>
    <col min="20" max="20" width="10.140625" bestFit="1" customWidth="1"/>
    <col min="21" max="21" width="9.7109375" bestFit="1" customWidth="1"/>
  </cols>
  <sheetData>
    <row r="1" spans="1:21">
      <c r="A1" s="437" t="s">
        <v>1401</v>
      </c>
      <c r="B1" s="437" t="s">
        <v>1402</v>
      </c>
      <c r="C1" s="431" t="s">
        <v>1403</v>
      </c>
      <c r="D1" s="431" t="s">
        <v>1404</v>
      </c>
      <c r="E1" s="439" t="s">
        <v>1405</v>
      </c>
      <c r="F1" s="431" t="s">
        <v>1406</v>
      </c>
      <c r="G1" s="433" t="s">
        <v>1407</v>
      </c>
      <c r="H1" s="435" t="s">
        <v>1408</v>
      </c>
      <c r="I1" s="436"/>
      <c r="J1" s="436"/>
      <c r="K1" s="436"/>
      <c r="L1" s="436"/>
      <c r="M1" s="436"/>
      <c r="N1" s="436"/>
      <c r="O1" s="436"/>
      <c r="P1" s="436"/>
      <c r="Q1" s="436"/>
    </row>
    <row r="2" spans="1:21">
      <c r="A2" s="438"/>
      <c r="B2" s="438"/>
      <c r="C2" s="432"/>
      <c r="D2" s="432"/>
      <c r="E2" s="440"/>
      <c r="F2" s="432"/>
      <c r="G2" s="434"/>
      <c r="H2" s="254" t="s">
        <v>1409</v>
      </c>
      <c r="I2" s="254" t="s">
        <v>1410</v>
      </c>
      <c r="J2" s="254" t="s">
        <v>1411</v>
      </c>
      <c r="K2" s="254" t="s">
        <v>1412</v>
      </c>
      <c r="L2" s="254" t="s">
        <v>1413</v>
      </c>
      <c r="M2" s="254" t="s">
        <v>1414</v>
      </c>
      <c r="N2" s="254" t="s">
        <v>1415</v>
      </c>
      <c r="O2" s="254" t="s">
        <v>1416</v>
      </c>
      <c r="P2" s="254" t="s">
        <v>1417</v>
      </c>
      <c r="Q2" s="254" t="s">
        <v>1418</v>
      </c>
    </row>
    <row r="3" spans="1:21">
      <c r="A3" s="248" t="s">
        <v>1419</v>
      </c>
      <c r="B3" s="248" t="s">
        <v>1420</v>
      </c>
      <c r="C3" s="249">
        <v>43937</v>
      </c>
      <c r="D3" s="249">
        <v>43943</v>
      </c>
      <c r="E3" s="249">
        <v>43943</v>
      </c>
      <c r="F3" s="249">
        <v>45769</v>
      </c>
      <c r="G3" s="252"/>
      <c r="H3" s="447"/>
      <c r="I3" s="448"/>
      <c r="J3" s="448"/>
      <c r="K3" s="448"/>
      <c r="L3" s="448"/>
      <c r="M3" s="448"/>
      <c r="N3" s="448"/>
      <c r="O3" s="448"/>
      <c r="P3" s="448"/>
      <c r="Q3" s="448"/>
    </row>
    <row r="4" spans="1:21">
      <c r="A4" s="248" t="s">
        <v>1421</v>
      </c>
      <c r="B4" s="248" t="s">
        <v>1420</v>
      </c>
      <c r="C4" s="249">
        <v>43944</v>
      </c>
      <c r="D4" s="249">
        <v>43951</v>
      </c>
      <c r="E4" s="249">
        <v>43951</v>
      </c>
      <c r="F4" s="249">
        <v>45777</v>
      </c>
      <c r="G4" s="251">
        <v>-125</v>
      </c>
      <c r="H4" s="253">
        <v>6.6328999999999999E-2</v>
      </c>
      <c r="I4" s="253">
        <v>5.9499999999999997E-2</v>
      </c>
      <c r="J4" s="253">
        <v>6.3963000000000006E-2</v>
      </c>
      <c r="K4" s="253">
        <v>7.5300000000000006E-2</v>
      </c>
      <c r="L4" s="253">
        <v>0.13461300000000001</v>
      </c>
      <c r="M4" s="253">
        <v>0.144403</v>
      </c>
      <c r="N4" s="253">
        <v>0.20694499999999999</v>
      </c>
      <c r="O4" s="253">
        <v>0.21137600000000001</v>
      </c>
      <c r="P4" s="253">
        <v>0.20066800000000001</v>
      </c>
      <c r="Q4" s="253">
        <v>0.12904499999999999</v>
      </c>
    </row>
    <row r="5" spans="1:21">
      <c r="A5" s="248" t="s">
        <v>1422</v>
      </c>
      <c r="B5" s="248" t="s">
        <v>1420</v>
      </c>
      <c r="C5" s="249">
        <v>43972</v>
      </c>
      <c r="D5" s="249">
        <v>43980</v>
      </c>
      <c r="E5" s="249">
        <v>43980</v>
      </c>
      <c r="F5" s="249">
        <v>45806</v>
      </c>
      <c r="G5" s="251">
        <v>-10</v>
      </c>
      <c r="H5" s="253">
        <v>7.6465000000000005E-2</v>
      </c>
      <c r="I5" s="253">
        <v>7.0958999999999994E-2</v>
      </c>
      <c r="J5" s="253">
        <v>7.4686000000000002E-2</v>
      </c>
      <c r="K5" s="253">
        <v>0.1008</v>
      </c>
      <c r="L5" s="253">
        <v>0.14599999999999999</v>
      </c>
      <c r="M5" s="253">
        <v>0.15628900000000001</v>
      </c>
      <c r="N5" s="253">
        <v>0.21815699999999999</v>
      </c>
      <c r="O5" s="253">
        <v>0.213583</v>
      </c>
      <c r="P5" s="253">
        <v>0.21184500000000001</v>
      </c>
      <c r="Q5" s="253">
        <v>0.127192</v>
      </c>
    </row>
    <row r="6" spans="1:21">
      <c r="A6" s="248" t="s">
        <v>1423</v>
      </c>
      <c r="B6" s="248" t="s">
        <v>1420</v>
      </c>
      <c r="C6" s="249">
        <v>44000</v>
      </c>
      <c r="D6" s="249">
        <v>44006</v>
      </c>
      <c r="E6" s="249">
        <v>44006</v>
      </c>
      <c r="F6" s="249">
        <v>45832</v>
      </c>
      <c r="G6" s="251">
        <v>-10</v>
      </c>
      <c r="H6" s="253">
        <v>7.3786000000000004E-2</v>
      </c>
      <c r="I6" s="253">
        <v>7.0693000000000006E-2</v>
      </c>
      <c r="J6" s="253">
        <v>7.4718999999999994E-2</v>
      </c>
      <c r="K6" s="253">
        <v>0.112789</v>
      </c>
      <c r="L6" s="253">
        <v>0.14850099999999999</v>
      </c>
      <c r="M6" s="253">
        <v>0.16750799999999999</v>
      </c>
      <c r="N6" s="253">
        <v>0.218225</v>
      </c>
      <c r="O6" s="253">
        <v>0.21255399999999999</v>
      </c>
      <c r="P6" s="253">
        <v>0.19828299999999999</v>
      </c>
      <c r="Q6" s="253">
        <v>0.118313</v>
      </c>
    </row>
    <row r="7" spans="1:21">
      <c r="A7" s="248" t="s">
        <v>1424</v>
      </c>
      <c r="B7" s="248" t="s">
        <v>1420</v>
      </c>
      <c r="C7" s="249">
        <v>44035</v>
      </c>
      <c r="D7" s="249">
        <v>44041</v>
      </c>
      <c r="E7" s="249">
        <v>44041</v>
      </c>
      <c r="F7" s="249">
        <v>45867</v>
      </c>
      <c r="G7" s="251">
        <v>-20</v>
      </c>
      <c r="H7" s="253">
        <v>6.2665999999999999E-2</v>
      </c>
      <c r="I7" s="253">
        <v>7.2000999999999996E-2</v>
      </c>
      <c r="J7" s="253">
        <v>7.3205999999999993E-2</v>
      </c>
      <c r="K7" s="253">
        <v>0.10452699999999999</v>
      </c>
      <c r="L7" s="253">
        <v>0.154806</v>
      </c>
      <c r="M7" s="253">
        <v>0.17649999999999999</v>
      </c>
      <c r="N7" s="253">
        <v>0.22670100000000001</v>
      </c>
      <c r="O7" s="253">
        <v>0.20195099999999999</v>
      </c>
      <c r="P7" s="253">
        <v>0.18990799999999999</v>
      </c>
      <c r="Q7" s="253">
        <v>0.11204799999999999</v>
      </c>
    </row>
    <row r="8" spans="1:21">
      <c r="A8" s="248" t="s">
        <v>1425</v>
      </c>
      <c r="B8" s="248" t="s">
        <v>1420</v>
      </c>
      <c r="C8" s="249">
        <v>44168</v>
      </c>
      <c r="D8" s="249">
        <v>44174</v>
      </c>
      <c r="E8" s="249">
        <v>44174</v>
      </c>
      <c r="F8" s="249">
        <v>46000</v>
      </c>
      <c r="G8" s="251">
        <v>-10</v>
      </c>
      <c r="H8" s="253">
        <v>7.0848999999999995E-2</v>
      </c>
      <c r="I8" s="253">
        <v>7.4787000000000006E-2</v>
      </c>
      <c r="J8" s="253">
        <v>0.109587</v>
      </c>
      <c r="K8" s="253">
        <v>0.14854400000000001</v>
      </c>
      <c r="L8" s="253">
        <v>0.16422900000000001</v>
      </c>
      <c r="M8" s="253">
        <v>0.21842900000000001</v>
      </c>
      <c r="N8" s="253">
        <v>0.21226300000000001</v>
      </c>
      <c r="O8" s="253">
        <v>0.20760500000000001</v>
      </c>
      <c r="P8" s="253">
        <v>0.127192</v>
      </c>
      <c r="Q8" s="253">
        <v>0.110128</v>
      </c>
      <c r="T8" t="s">
        <v>1426</v>
      </c>
      <c r="U8" t="s">
        <v>130</v>
      </c>
    </row>
    <row r="9" spans="1:21">
      <c r="A9" s="248" t="s">
        <v>1427</v>
      </c>
      <c r="B9" s="248" t="s">
        <v>1420</v>
      </c>
      <c r="C9" s="249">
        <v>44469</v>
      </c>
      <c r="D9" s="249">
        <v>44475</v>
      </c>
      <c r="E9" s="249">
        <v>44475</v>
      </c>
      <c r="F9" s="249">
        <v>46301</v>
      </c>
      <c r="G9" s="251">
        <v>-10</v>
      </c>
      <c r="H9" s="253">
        <v>7.8488000000000002E-2</v>
      </c>
      <c r="I9" s="253">
        <v>0.12145</v>
      </c>
      <c r="J9" s="253">
        <v>0.15846099999999999</v>
      </c>
      <c r="K9" s="253">
        <v>0.21856600000000001</v>
      </c>
      <c r="L9" s="253">
        <v>0.22750000000000001</v>
      </c>
      <c r="M9" s="253">
        <v>0.212035</v>
      </c>
      <c r="N9" s="253">
        <v>0.14133000000000001</v>
      </c>
      <c r="O9" s="253">
        <v>0.11823</v>
      </c>
      <c r="P9" s="252"/>
      <c r="Q9" s="252"/>
      <c r="S9">
        <v>2019</v>
      </c>
      <c r="T9" s="3">
        <v>0.124</v>
      </c>
      <c r="U9" s="141">
        <f>'Policy Rate'!D150</f>
        <v>0.12454109589041097</v>
      </c>
    </row>
    <row r="10" spans="1:21">
      <c r="A10" s="248" t="s">
        <v>1428</v>
      </c>
      <c r="B10" s="248" t="s">
        <v>1420</v>
      </c>
      <c r="C10" s="249">
        <v>44495</v>
      </c>
      <c r="D10" s="249">
        <v>44498</v>
      </c>
      <c r="E10" s="249">
        <v>44498</v>
      </c>
      <c r="F10" s="249">
        <v>46324</v>
      </c>
      <c r="G10" s="251">
        <v>-10</v>
      </c>
      <c r="H10" s="253">
        <v>8.6999999999999994E-2</v>
      </c>
      <c r="I10" s="253">
        <v>0.14611299999999999</v>
      </c>
      <c r="J10" s="253">
        <v>0.15590300000000001</v>
      </c>
      <c r="K10" s="253">
        <v>0.218445</v>
      </c>
      <c r="L10" s="253">
        <v>0.22287599999999999</v>
      </c>
      <c r="M10" s="253">
        <v>0.212168</v>
      </c>
      <c r="N10" s="253">
        <v>0.140545</v>
      </c>
      <c r="O10" s="253">
        <v>0.11847299999999999</v>
      </c>
      <c r="P10" s="252"/>
      <c r="Q10" s="252"/>
      <c r="S10">
        <v>2020</v>
      </c>
      <c r="T10" s="187">
        <f>AVERAGE(H4:H8)</f>
        <v>7.0018999999999998E-2</v>
      </c>
      <c r="U10" s="3">
        <f>'Policy Rate'!D141</f>
        <v>8.443989071038252E-2</v>
      </c>
    </row>
    <row r="11" spans="1:21">
      <c r="A11" s="248" t="s">
        <v>1429</v>
      </c>
      <c r="B11" s="248" t="s">
        <v>1420</v>
      </c>
      <c r="C11" s="249">
        <v>44672</v>
      </c>
      <c r="D11" s="249">
        <v>44678</v>
      </c>
      <c r="E11" s="249">
        <v>44678</v>
      </c>
      <c r="F11" s="249">
        <v>46504</v>
      </c>
      <c r="G11" s="250">
        <v>0</v>
      </c>
      <c r="H11" s="253">
        <v>0.13527900000000001</v>
      </c>
      <c r="I11" s="253">
        <v>0.15690299999999999</v>
      </c>
      <c r="J11" s="253">
        <v>0.219445</v>
      </c>
      <c r="K11" s="253">
        <v>0.22387599999999999</v>
      </c>
      <c r="L11" s="253">
        <v>0.213168</v>
      </c>
      <c r="M11" s="253">
        <v>0.141545</v>
      </c>
      <c r="N11" s="253">
        <v>0.119473</v>
      </c>
      <c r="O11" s="252"/>
      <c r="P11" s="252"/>
      <c r="Q11" s="252"/>
      <c r="S11">
        <v>2021</v>
      </c>
      <c r="T11" s="187">
        <f>AVERAGE(H9:H10)</f>
        <v>8.2743999999999998E-2</v>
      </c>
      <c r="U11" s="141">
        <f>'Policy Rate'!D129</f>
        <v>7.7787671232876707E-2</v>
      </c>
    </row>
    <row r="12" spans="1:21">
      <c r="A12" s="248" t="s">
        <v>1430</v>
      </c>
      <c r="B12" s="248" t="s">
        <v>1420</v>
      </c>
      <c r="C12" s="249">
        <v>44854</v>
      </c>
      <c r="D12" s="249">
        <v>44860</v>
      </c>
      <c r="E12" s="249">
        <v>44860</v>
      </c>
      <c r="F12" s="249">
        <v>46686</v>
      </c>
      <c r="G12" s="250">
        <v>0</v>
      </c>
      <c r="H12" s="253">
        <v>0.15690299999999999</v>
      </c>
      <c r="I12" s="253">
        <v>0.219445</v>
      </c>
      <c r="J12" s="253">
        <v>0.22387599999999999</v>
      </c>
      <c r="K12" s="253">
        <v>0.213168</v>
      </c>
      <c r="L12" s="253">
        <v>0.141545</v>
      </c>
      <c r="M12" s="253">
        <v>0.119473</v>
      </c>
      <c r="N12" s="252"/>
      <c r="O12" s="252"/>
      <c r="P12" s="252"/>
      <c r="Q12" s="252"/>
      <c r="S12">
        <v>2022</v>
      </c>
      <c r="T12" s="187">
        <f>AVERAGE(H11:H12)</f>
        <v>0.146091</v>
      </c>
      <c r="U12" s="3">
        <f>'Policy Rate'!D121</f>
        <v>0.14582876712328768</v>
      </c>
    </row>
    <row r="13" spans="1:21">
      <c r="A13" s="248" t="s">
        <v>1431</v>
      </c>
      <c r="B13" s="248" t="s">
        <v>1432</v>
      </c>
      <c r="C13" s="249">
        <v>44929</v>
      </c>
      <c r="D13" s="249">
        <v>44931</v>
      </c>
      <c r="E13" s="249">
        <v>44931</v>
      </c>
      <c r="F13" s="249">
        <v>46027</v>
      </c>
      <c r="G13" s="251">
        <v>-25</v>
      </c>
      <c r="H13" s="253">
        <v>0.165627</v>
      </c>
      <c r="I13" s="253">
        <v>0.216725</v>
      </c>
      <c r="J13" s="253">
        <v>0.21113399999999999</v>
      </c>
      <c r="K13" s="253">
        <v>0.19692699999999999</v>
      </c>
      <c r="L13" s="253">
        <v>0.116401</v>
      </c>
      <c r="M13" s="253">
        <v>0.106474</v>
      </c>
      <c r="N13" s="449"/>
      <c r="O13" s="450"/>
      <c r="P13" s="450"/>
      <c r="Q13" s="450"/>
      <c r="S13">
        <v>2023</v>
      </c>
      <c r="T13" s="187">
        <f>AVERAGE(H13:H27)</f>
        <v>0.21513440000000003</v>
      </c>
      <c r="U13" s="3">
        <f>'Policy Rate'!D112</f>
        <v>0.21386301369863014</v>
      </c>
    </row>
    <row r="14" spans="1:21">
      <c r="A14" s="248" t="s">
        <v>1433</v>
      </c>
      <c r="B14" s="248" t="s">
        <v>1434</v>
      </c>
      <c r="C14" s="249">
        <v>44973</v>
      </c>
      <c r="D14" s="249">
        <v>44977</v>
      </c>
      <c r="E14" s="249">
        <v>44977</v>
      </c>
      <c r="F14" s="249">
        <v>45342</v>
      </c>
      <c r="G14" s="250">
        <v>0</v>
      </c>
      <c r="H14" s="253">
        <v>0.1784</v>
      </c>
      <c r="I14" s="253">
        <v>0.22725000000000001</v>
      </c>
      <c r="J14" s="443"/>
      <c r="K14" s="444"/>
      <c r="L14" s="444"/>
      <c r="M14" s="444"/>
      <c r="N14" s="444"/>
      <c r="O14" s="444"/>
      <c r="P14" s="444"/>
      <c r="Q14" s="444"/>
      <c r="S14">
        <v>2024</v>
      </c>
      <c r="T14" s="3">
        <v>0.18099999999999999</v>
      </c>
      <c r="U14" s="3">
        <f>'Policy Rate'!D103</f>
        <v>0.18032786885245902</v>
      </c>
    </row>
    <row r="15" spans="1:21">
      <c r="A15" s="248" t="s">
        <v>1435</v>
      </c>
      <c r="B15" s="248" t="s">
        <v>1434</v>
      </c>
      <c r="C15" s="249">
        <v>44991</v>
      </c>
      <c r="D15" s="249">
        <v>44993</v>
      </c>
      <c r="E15" s="249">
        <v>44993</v>
      </c>
      <c r="F15" s="249">
        <v>45359</v>
      </c>
      <c r="G15" s="250">
        <v>75</v>
      </c>
      <c r="H15" s="253">
        <v>0.203206</v>
      </c>
      <c r="I15" s="253">
        <v>0.25536799999999998</v>
      </c>
      <c r="J15" s="443"/>
      <c r="K15" s="444"/>
      <c r="L15" s="444"/>
      <c r="M15" s="444"/>
      <c r="N15" s="444"/>
      <c r="O15" s="444"/>
      <c r="P15" s="444"/>
      <c r="Q15" s="444"/>
    </row>
    <row r="16" spans="1:21">
      <c r="A16" s="248" t="s">
        <v>1436</v>
      </c>
      <c r="B16" s="248" t="s">
        <v>1434</v>
      </c>
      <c r="C16" s="249">
        <v>45029</v>
      </c>
      <c r="D16" s="249">
        <v>45033</v>
      </c>
      <c r="E16" s="249">
        <v>45033</v>
      </c>
      <c r="F16" s="249">
        <v>45399</v>
      </c>
      <c r="G16" s="250">
        <v>75</v>
      </c>
      <c r="H16" s="253">
        <v>0.226768</v>
      </c>
      <c r="I16" s="253">
        <v>0.23599999999999999</v>
      </c>
      <c r="J16" s="443"/>
      <c r="K16" s="444"/>
      <c r="L16" s="444"/>
      <c r="M16" s="444"/>
      <c r="N16" s="444"/>
      <c r="O16" s="444"/>
      <c r="P16" s="444"/>
      <c r="Q16" s="444"/>
    </row>
    <row r="17" spans="1:17">
      <c r="A17" s="248" t="s">
        <v>1437</v>
      </c>
      <c r="B17" s="248" t="s">
        <v>1434</v>
      </c>
      <c r="C17" s="249">
        <v>45064</v>
      </c>
      <c r="D17" s="249">
        <v>45068</v>
      </c>
      <c r="E17" s="249">
        <v>45068</v>
      </c>
      <c r="F17" s="249">
        <v>45434</v>
      </c>
      <c r="G17" s="250">
        <v>75</v>
      </c>
      <c r="H17" s="253">
        <v>0.226657</v>
      </c>
      <c r="I17" s="253">
        <v>0.222083</v>
      </c>
      <c r="J17" s="443"/>
      <c r="K17" s="444"/>
      <c r="L17" s="444"/>
      <c r="M17" s="444"/>
      <c r="N17" s="444"/>
      <c r="O17" s="444"/>
      <c r="P17" s="444"/>
      <c r="Q17" s="444"/>
    </row>
    <row r="18" spans="1:17">
      <c r="A18" s="248" t="s">
        <v>1438</v>
      </c>
      <c r="B18" s="248" t="s">
        <v>1434</v>
      </c>
      <c r="C18" s="249">
        <v>45099</v>
      </c>
      <c r="D18" s="249">
        <v>45103</v>
      </c>
      <c r="E18" s="249">
        <v>45103</v>
      </c>
      <c r="F18" s="249">
        <v>45469</v>
      </c>
      <c r="G18" s="250">
        <v>65</v>
      </c>
      <c r="H18" s="253">
        <v>0.22572500000000001</v>
      </c>
      <c r="I18" s="253">
        <v>0.220054</v>
      </c>
      <c r="J18" s="445"/>
      <c r="K18" s="446"/>
      <c r="L18" s="446"/>
      <c r="M18" s="446"/>
      <c r="N18" s="446"/>
      <c r="O18" s="446"/>
      <c r="P18" s="446"/>
      <c r="Q18" s="446"/>
    </row>
    <row r="19" spans="1:17">
      <c r="A19" s="248" t="s">
        <v>1439</v>
      </c>
      <c r="B19" s="248" t="s">
        <v>1420</v>
      </c>
      <c r="C19" s="249">
        <v>45099</v>
      </c>
      <c r="D19" s="249">
        <v>45103</v>
      </c>
      <c r="E19" s="249">
        <v>45103</v>
      </c>
      <c r="F19" s="249">
        <v>46930</v>
      </c>
      <c r="G19" s="250">
        <v>95</v>
      </c>
      <c r="H19" s="253">
        <v>0.22872500000000001</v>
      </c>
      <c r="I19" s="253">
        <v>0.223054</v>
      </c>
      <c r="J19" s="253">
        <v>0.208783</v>
      </c>
      <c r="K19" s="253">
        <v>0.12881300000000001</v>
      </c>
      <c r="L19" s="253">
        <v>0.119021</v>
      </c>
      <c r="M19" s="252"/>
      <c r="N19" s="252"/>
      <c r="O19" s="252"/>
      <c r="P19" s="252"/>
      <c r="Q19" s="252"/>
    </row>
    <row r="20" spans="1:17">
      <c r="A20" s="248" t="s">
        <v>1440</v>
      </c>
      <c r="B20" s="248" t="s">
        <v>1434</v>
      </c>
      <c r="C20" s="249">
        <v>45117</v>
      </c>
      <c r="D20" s="249">
        <v>45119</v>
      </c>
      <c r="E20" s="249">
        <v>45119</v>
      </c>
      <c r="F20" s="249">
        <v>45485</v>
      </c>
      <c r="G20" s="250">
        <v>84</v>
      </c>
      <c r="H20" s="253">
        <v>0.22762499999999999</v>
      </c>
      <c r="I20" s="253">
        <v>0.218001</v>
      </c>
      <c r="J20" s="449"/>
      <c r="K20" s="450"/>
      <c r="L20" s="450"/>
      <c r="M20" s="450"/>
      <c r="N20" s="450"/>
      <c r="O20" s="450"/>
      <c r="P20" s="450"/>
      <c r="Q20" s="450"/>
    </row>
    <row r="21" spans="1:17">
      <c r="A21" s="248" t="s">
        <v>1441</v>
      </c>
      <c r="B21" s="248" t="s">
        <v>1432</v>
      </c>
      <c r="C21" s="249">
        <v>45117</v>
      </c>
      <c r="D21" s="249">
        <v>45119</v>
      </c>
      <c r="E21" s="249">
        <v>45119</v>
      </c>
      <c r="F21" s="249">
        <v>46215</v>
      </c>
      <c r="G21" s="250">
        <v>85</v>
      </c>
      <c r="H21" s="253">
        <v>0.22772500000000001</v>
      </c>
      <c r="I21" s="253">
        <v>0.21810099999999999</v>
      </c>
      <c r="J21" s="253">
        <v>0.20533899999999999</v>
      </c>
      <c r="K21" s="253">
        <v>0.12575800000000001</v>
      </c>
      <c r="L21" s="253">
        <v>0.115963</v>
      </c>
      <c r="M21" s="252"/>
      <c r="N21" s="441"/>
      <c r="O21" s="442"/>
      <c r="P21" s="442"/>
      <c r="Q21" s="442"/>
    </row>
    <row r="22" spans="1:17">
      <c r="A22" s="248" t="s">
        <v>1442</v>
      </c>
      <c r="B22" s="248" t="s">
        <v>1434</v>
      </c>
      <c r="C22" s="249">
        <v>45141</v>
      </c>
      <c r="D22" s="249">
        <v>45145</v>
      </c>
      <c r="E22" s="249">
        <v>45511</v>
      </c>
      <c r="F22" s="249">
        <v>45511</v>
      </c>
      <c r="G22" s="250">
        <v>84</v>
      </c>
      <c r="H22" s="253">
        <v>0.23710100000000001</v>
      </c>
      <c r="I22" s="253">
        <v>0.21235100000000001</v>
      </c>
      <c r="J22" s="443"/>
      <c r="K22" s="444"/>
      <c r="L22" s="444"/>
      <c r="M22" s="444"/>
      <c r="N22" s="444"/>
      <c r="O22" s="444"/>
      <c r="P22" s="444"/>
      <c r="Q22" s="444"/>
    </row>
    <row r="23" spans="1:17">
      <c r="A23" s="248" t="s">
        <v>1443</v>
      </c>
      <c r="B23" s="248" t="s">
        <v>1434</v>
      </c>
      <c r="C23" s="249">
        <v>45187</v>
      </c>
      <c r="D23" s="249">
        <v>45189</v>
      </c>
      <c r="E23" s="249">
        <v>45189</v>
      </c>
      <c r="F23" s="249">
        <v>45555</v>
      </c>
      <c r="G23" s="251">
        <v>-200</v>
      </c>
      <c r="H23" s="253">
        <v>0.22786799999999999</v>
      </c>
      <c r="I23" s="253">
        <v>0.183949</v>
      </c>
      <c r="J23" s="443"/>
      <c r="K23" s="444"/>
      <c r="L23" s="444"/>
      <c r="M23" s="444"/>
      <c r="N23" s="444"/>
      <c r="O23" s="444"/>
      <c r="P23" s="444"/>
      <c r="Q23" s="444"/>
    </row>
    <row r="24" spans="1:17">
      <c r="A24" s="248" t="s">
        <v>1444</v>
      </c>
      <c r="B24" s="248" t="s">
        <v>1434</v>
      </c>
      <c r="C24" s="249">
        <v>45204</v>
      </c>
      <c r="D24" s="249">
        <v>45208</v>
      </c>
      <c r="E24" s="249">
        <v>45208</v>
      </c>
      <c r="F24" s="249">
        <v>45574</v>
      </c>
      <c r="G24" s="251">
        <v>-36</v>
      </c>
      <c r="H24" s="253">
        <v>0.22489999999999999</v>
      </c>
      <c r="I24" s="253">
        <v>0.20943500000000001</v>
      </c>
      <c r="J24" s="443"/>
      <c r="K24" s="444"/>
      <c r="L24" s="444"/>
      <c r="M24" s="444"/>
      <c r="N24" s="444"/>
      <c r="O24" s="444"/>
      <c r="P24" s="444"/>
      <c r="Q24" s="444"/>
    </row>
    <row r="25" spans="1:17">
      <c r="A25" s="248" t="s">
        <v>1445</v>
      </c>
      <c r="B25" s="248" t="s">
        <v>1434</v>
      </c>
      <c r="C25" s="249">
        <v>45260</v>
      </c>
      <c r="D25" s="249">
        <v>45264</v>
      </c>
      <c r="E25" s="249">
        <v>45264</v>
      </c>
      <c r="F25" s="249">
        <v>45630</v>
      </c>
      <c r="G25" s="251">
        <v>-100</v>
      </c>
      <c r="H25" s="253">
        <v>0.203263</v>
      </c>
      <c r="I25" s="253">
        <v>0.198605</v>
      </c>
      <c r="J25" s="445"/>
      <c r="K25" s="446"/>
      <c r="L25" s="446"/>
      <c r="M25" s="446"/>
      <c r="N25" s="446"/>
      <c r="O25" s="446"/>
      <c r="P25" s="446"/>
      <c r="Q25" s="446"/>
    </row>
    <row r="26" spans="1:17">
      <c r="A26" s="248" t="s">
        <v>1446</v>
      </c>
      <c r="B26" s="248" t="s">
        <v>1432</v>
      </c>
      <c r="C26" s="249">
        <v>45260</v>
      </c>
      <c r="D26" s="249">
        <v>45264</v>
      </c>
      <c r="E26" s="249">
        <v>45264</v>
      </c>
      <c r="F26" s="249">
        <v>46360</v>
      </c>
      <c r="G26" s="251">
        <v>-21</v>
      </c>
      <c r="H26" s="253">
        <v>0.21116299999999999</v>
      </c>
      <c r="I26" s="253">
        <v>0.20650499999999999</v>
      </c>
      <c r="J26" s="253">
        <v>0.12609200000000001</v>
      </c>
      <c r="K26" s="253">
        <v>0.109028</v>
      </c>
      <c r="L26" s="252"/>
      <c r="M26" s="252"/>
      <c r="N26" s="447"/>
      <c r="O26" s="448"/>
      <c r="P26" s="448"/>
      <c r="Q26" s="448"/>
    </row>
    <row r="27" spans="1:17">
      <c r="A27" s="248" t="s">
        <v>1447</v>
      </c>
      <c r="B27" s="248" t="s">
        <v>1420</v>
      </c>
      <c r="C27" s="249">
        <v>45260</v>
      </c>
      <c r="D27" s="249">
        <v>45264</v>
      </c>
      <c r="E27" s="249">
        <v>45264</v>
      </c>
      <c r="F27" s="249">
        <v>47091</v>
      </c>
      <c r="G27" s="251">
        <v>-10</v>
      </c>
      <c r="H27" s="253">
        <v>0.21226300000000001</v>
      </c>
      <c r="I27" s="253">
        <v>0.20760500000000001</v>
      </c>
      <c r="J27" s="253">
        <v>0.127192</v>
      </c>
      <c r="K27" s="253">
        <v>0.110128</v>
      </c>
      <c r="L27" s="252"/>
      <c r="M27" s="252"/>
      <c r="N27" s="252"/>
      <c r="O27" s="252"/>
      <c r="P27" s="252"/>
      <c r="Q27" s="252"/>
    </row>
  </sheetData>
  <mergeCells count="15">
    <mergeCell ref="N21:Q21"/>
    <mergeCell ref="J22:Q25"/>
    <mergeCell ref="N26:Q26"/>
    <mergeCell ref="H3:Q3"/>
    <mergeCell ref="N13:Q13"/>
    <mergeCell ref="J14:Q18"/>
    <mergeCell ref="J20:Q20"/>
    <mergeCell ref="F1:F2"/>
    <mergeCell ref="G1:G2"/>
    <mergeCell ref="H1:Q1"/>
    <mergeCell ref="A1:A2"/>
    <mergeCell ref="B1:B2"/>
    <mergeCell ref="C1:C2"/>
    <mergeCell ref="D1:D2"/>
    <mergeCell ref="E1: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2BF-7BE5-4053-8B04-6A25CA8C68DB}">
  <dimension ref="A1:U58"/>
  <sheetViews>
    <sheetView topLeftCell="B1" workbookViewId="0">
      <selection activeCell="T9" sqref="T9"/>
    </sheetView>
  </sheetViews>
  <sheetFormatPr defaultRowHeight="14.45"/>
  <cols>
    <col min="7" max="7" width="9.7109375" customWidth="1"/>
    <col min="9" max="9" width="10" customWidth="1"/>
    <col min="10" max="10" width="11" customWidth="1"/>
    <col min="11" max="11" width="10.42578125" customWidth="1"/>
    <col min="12" max="12" width="12" customWidth="1"/>
    <col min="18" max="18" width="14.7109375" bestFit="1" customWidth="1"/>
    <col min="19" max="19" width="11.42578125" bestFit="1" customWidth="1"/>
    <col min="20" max="20" width="14.7109375" bestFit="1" customWidth="1"/>
    <col min="21" max="21" width="11.42578125" bestFit="1" customWidth="1"/>
  </cols>
  <sheetData>
    <row r="1" spans="1:21" ht="25.15">
      <c r="A1" s="274" t="s">
        <v>1448</v>
      </c>
      <c r="B1" s="274" t="s">
        <v>1449</v>
      </c>
      <c r="C1" s="274" t="s">
        <v>1450</v>
      </c>
      <c r="D1" s="275" t="s">
        <v>1451</v>
      </c>
      <c r="E1" s="274" t="s">
        <v>1452</v>
      </c>
      <c r="F1" s="274" t="s">
        <v>1453</v>
      </c>
      <c r="G1" s="275" t="s">
        <v>1454</v>
      </c>
      <c r="H1" s="275" t="s">
        <v>1455</v>
      </c>
      <c r="I1" s="275" t="s">
        <v>1456</v>
      </c>
      <c r="J1" s="276" t="s">
        <v>1457</v>
      </c>
      <c r="K1" s="275" t="s">
        <v>1458</v>
      </c>
      <c r="L1" s="275" t="s">
        <v>1459</v>
      </c>
      <c r="M1" s="277" t="s">
        <v>1460</v>
      </c>
      <c r="N1" s="274" t="s">
        <v>1461</v>
      </c>
      <c r="O1" s="274" t="s">
        <v>1462</v>
      </c>
    </row>
    <row r="2" spans="1:21">
      <c r="A2" s="256" t="s">
        <v>1463</v>
      </c>
      <c r="B2" s="256" t="s">
        <v>1464</v>
      </c>
      <c r="C2" s="257">
        <v>44035</v>
      </c>
      <c r="D2" s="257">
        <v>44041</v>
      </c>
      <c r="E2" s="257">
        <v>44041</v>
      </c>
      <c r="F2" s="257">
        <v>45867</v>
      </c>
      <c r="G2" s="258">
        <v>25000</v>
      </c>
      <c r="H2" s="258">
        <v>26500</v>
      </c>
      <c r="I2" s="259" t="s">
        <v>1465</v>
      </c>
      <c r="J2" s="258">
        <v>20900</v>
      </c>
      <c r="K2" s="262">
        <v>100</v>
      </c>
      <c r="L2" s="258">
        <v>21000</v>
      </c>
      <c r="M2" s="261">
        <v>8.3699999999999997E-2</v>
      </c>
      <c r="N2" s="255"/>
      <c r="O2" s="255"/>
    </row>
    <row r="3" spans="1:21" ht="16.899999999999999">
      <c r="A3" s="256" t="s">
        <v>1466</v>
      </c>
      <c r="B3" s="256" t="s">
        <v>1464</v>
      </c>
      <c r="C3" s="257">
        <v>44063</v>
      </c>
      <c r="D3" s="257">
        <v>44069</v>
      </c>
      <c r="E3" s="257">
        <v>44041</v>
      </c>
      <c r="F3" s="257">
        <v>45867</v>
      </c>
      <c r="G3" s="258">
        <v>20000</v>
      </c>
      <c r="H3" s="258">
        <v>22645</v>
      </c>
      <c r="I3" s="256" t="s">
        <v>1467</v>
      </c>
      <c r="J3" s="258">
        <v>17733</v>
      </c>
      <c r="K3" s="262">
        <v>100</v>
      </c>
      <c r="L3" s="258">
        <v>17833</v>
      </c>
      <c r="M3" s="261">
        <v>8.3699999999999997E-2</v>
      </c>
      <c r="N3" s="263">
        <v>99.671999999999997</v>
      </c>
      <c r="O3" s="261">
        <v>8.4500000000000006E-2</v>
      </c>
    </row>
    <row r="4" spans="1:21" ht="16.899999999999999">
      <c r="A4" s="256" t="s">
        <v>1468</v>
      </c>
      <c r="B4" s="256" t="s">
        <v>1464</v>
      </c>
      <c r="C4" s="257">
        <v>44091</v>
      </c>
      <c r="D4" s="257">
        <v>44097</v>
      </c>
      <c r="E4" s="257">
        <v>44041</v>
      </c>
      <c r="F4" s="257">
        <v>45867</v>
      </c>
      <c r="G4" s="258">
        <v>15000</v>
      </c>
      <c r="H4" s="258">
        <v>6825</v>
      </c>
      <c r="I4" s="256" t="s">
        <v>1469</v>
      </c>
      <c r="J4" s="258">
        <v>5650</v>
      </c>
      <c r="K4" s="262">
        <v>112.5</v>
      </c>
      <c r="L4" s="258">
        <v>5762.5</v>
      </c>
      <c r="M4" s="261">
        <v>8.3699999999999997E-2</v>
      </c>
      <c r="N4" s="263">
        <v>99.805599999999998</v>
      </c>
      <c r="O4" s="261">
        <v>8.4150000000000003E-2</v>
      </c>
    </row>
    <row r="5" spans="1:21" ht="16.899999999999999">
      <c r="A5" s="256" t="s">
        <v>1470</v>
      </c>
      <c r="B5" s="256" t="s">
        <v>1464</v>
      </c>
      <c r="C5" s="257">
        <v>44119</v>
      </c>
      <c r="D5" s="257">
        <v>44125</v>
      </c>
      <c r="E5" s="257">
        <v>44041</v>
      </c>
      <c r="F5" s="257">
        <v>45867</v>
      </c>
      <c r="G5" s="258">
        <v>15000</v>
      </c>
      <c r="H5" s="258">
        <v>7100</v>
      </c>
      <c r="I5" s="256" t="s">
        <v>1471</v>
      </c>
      <c r="J5" s="259" t="s">
        <v>1472</v>
      </c>
      <c r="K5" s="260" t="s">
        <v>1473</v>
      </c>
      <c r="L5" s="260" t="s">
        <v>1473</v>
      </c>
      <c r="M5" s="261">
        <v>8.3699999999999997E-2</v>
      </c>
      <c r="N5" s="255"/>
      <c r="O5" s="255"/>
    </row>
    <row r="6" spans="1:21" ht="16.899999999999999">
      <c r="A6" s="256" t="s">
        <v>1474</v>
      </c>
      <c r="B6" s="256" t="s">
        <v>1464</v>
      </c>
      <c r="C6" s="257">
        <v>44168</v>
      </c>
      <c r="D6" s="257">
        <v>44174</v>
      </c>
      <c r="E6" s="257">
        <v>44174</v>
      </c>
      <c r="F6" s="257">
        <v>46000</v>
      </c>
      <c r="G6" s="258">
        <v>15000</v>
      </c>
      <c r="H6" s="258">
        <v>5800</v>
      </c>
      <c r="I6" s="259" t="s">
        <v>1475</v>
      </c>
      <c r="J6" s="259" t="s">
        <v>1472</v>
      </c>
      <c r="K6" s="260" t="s">
        <v>1473</v>
      </c>
      <c r="L6" s="260" t="s">
        <v>1473</v>
      </c>
      <c r="M6" s="255"/>
      <c r="N6" s="255"/>
      <c r="O6" s="255"/>
    </row>
    <row r="7" spans="1:21" ht="16.899999999999999">
      <c r="A7" s="256" t="s">
        <v>1476</v>
      </c>
      <c r="B7" s="256" t="s">
        <v>1464</v>
      </c>
      <c r="C7" s="257">
        <v>44182</v>
      </c>
      <c r="D7" s="257">
        <v>44188</v>
      </c>
      <c r="E7" s="257">
        <v>44188</v>
      </c>
      <c r="F7" s="257">
        <v>46014</v>
      </c>
      <c r="G7" s="258">
        <v>15000</v>
      </c>
      <c r="H7" s="258">
        <v>5600</v>
      </c>
      <c r="I7" s="259" t="s">
        <v>1477</v>
      </c>
      <c r="J7" s="259" t="s">
        <v>1472</v>
      </c>
      <c r="K7" s="260" t="s">
        <v>1473</v>
      </c>
      <c r="L7" s="260" t="s">
        <v>1473</v>
      </c>
      <c r="M7" s="255"/>
      <c r="N7" s="255"/>
      <c r="O7" s="255"/>
    </row>
    <row r="8" spans="1:21">
      <c r="A8" s="256" t="s">
        <v>1478</v>
      </c>
      <c r="B8" s="256" t="s">
        <v>1464</v>
      </c>
      <c r="C8" s="257">
        <v>44210</v>
      </c>
      <c r="D8" s="257">
        <v>44216</v>
      </c>
      <c r="E8" s="257">
        <v>44216</v>
      </c>
      <c r="F8" s="257">
        <v>46042</v>
      </c>
      <c r="G8" s="258">
        <v>15000</v>
      </c>
      <c r="H8" s="258">
        <v>8750</v>
      </c>
      <c r="I8" s="259" t="s">
        <v>1479</v>
      </c>
      <c r="J8" s="258">
        <v>8250</v>
      </c>
      <c r="K8" s="260" t="s">
        <v>1473</v>
      </c>
      <c r="L8" s="258">
        <v>8250</v>
      </c>
      <c r="M8" s="261">
        <v>9.4500000000000001E-2</v>
      </c>
      <c r="N8" s="255"/>
      <c r="O8" s="255"/>
      <c r="T8" t="s">
        <v>1480</v>
      </c>
      <c r="U8" t="s">
        <v>130</v>
      </c>
    </row>
    <row r="9" spans="1:21">
      <c r="A9" s="256" t="s">
        <v>1481</v>
      </c>
      <c r="B9" s="256" t="s">
        <v>1464</v>
      </c>
      <c r="C9" s="257">
        <v>44469</v>
      </c>
      <c r="D9" s="257">
        <v>44475</v>
      </c>
      <c r="E9" s="257">
        <v>44475</v>
      </c>
      <c r="F9" s="257">
        <v>46301</v>
      </c>
      <c r="G9" s="258">
        <v>25000</v>
      </c>
      <c r="H9" s="258">
        <v>53830</v>
      </c>
      <c r="I9" s="259" t="s">
        <v>1482</v>
      </c>
      <c r="J9" s="258">
        <v>12730</v>
      </c>
      <c r="K9" s="260" t="s">
        <v>1473</v>
      </c>
      <c r="L9" s="258">
        <v>12730</v>
      </c>
      <c r="M9" s="261">
        <v>9.7000000000000003E-2</v>
      </c>
      <c r="N9" s="255"/>
      <c r="O9" s="255"/>
      <c r="S9">
        <v>2019</v>
      </c>
      <c r="T9" s="139">
        <v>0.12</v>
      </c>
      <c r="U9" s="141">
        <f>'Policy Rate'!D150</f>
        <v>0.12454109589041097</v>
      </c>
    </row>
    <row r="10" spans="1:21" ht="16.899999999999999">
      <c r="A10" s="256" t="s">
        <v>1483</v>
      </c>
      <c r="B10" s="256" t="s">
        <v>1464</v>
      </c>
      <c r="C10" s="257">
        <v>44495</v>
      </c>
      <c r="D10" s="257">
        <v>44498</v>
      </c>
      <c r="E10" s="257">
        <v>44498</v>
      </c>
      <c r="F10" s="257">
        <v>46324</v>
      </c>
      <c r="G10" s="258">
        <v>25000</v>
      </c>
      <c r="H10" s="258">
        <v>22967</v>
      </c>
      <c r="I10" s="259" t="s">
        <v>1484</v>
      </c>
      <c r="J10" s="259" t="s">
        <v>1472</v>
      </c>
      <c r="K10" s="260" t="s">
        <v>1473</v>
      </c>
      <c r="L10" s="260" t="s">
        <v>1473</v>
      </c>
      <c r="M10" s="255"/>
      <c r="N10" s="255"/>
      <c r="O10" s="255"/>
      <c r="S10">
        <v>2020</v>
      </c>
      <c r="T10" s="187">
        <f>AVERAGE(M2:M7)</f>
        <v>8.3699999999999997E-2</v>
      </c>
      <c r="U10" s="3">
        <f>'Policy Rate'!D141</f>
        <v>8.443989071038252E-2</v>
      </c>
    </row>
    <row r="11" spans="1:21" ht="16.899999999999999">
      <c r="A11" s="256" t="s">
        <v>1485</v>
      </c>
      <c r="B11" s="256" t="s">
        <v>1464</v>
      </c>
      <c r="C11" s="257">
        <v>44511</v>
      </c>
      <c r="D11" s="257">
        <v>44517</v>
      </c>
      <c r="E11" s="257">
        <v>44517</v>
      </c>
      <c r="F11" s="257">
        <v>46343</v>
      </c>
      <c r="G11" s="258">
        <v>25000</v>
      </c>
      <c r="H11" s="258">
        <v>21548</v>
      </c>
      <c r="I11" s="259" t="s">
        <v>1486</v>
      </c>
      <c r="J11" s="259" t="s">
        <v>1472</v>
      </c>
      <c r="K11" s="260" t="s">
        <v>1473</v>
      </c>
      <c r="L11" s="260" t="s">
        <v>1473</v>
      </c>
      <c r="M11" s="255"/>
      <c r="N11" s="255"/>
      <c r="O11" s="255"/>
      <c r="S11">
        <v>2021</v>
      </c>
      <c r="T11" s="187">
        <f>AVERAGE(M8:M12)</f>
        <v>0.10183333333333333</v>
      </c>
      <c r="U11" s="141">
        <f>'Policy Rate'!D129</f>
        <v>7.7787671232876707E-2</v>
      </c>
    </row>
    <row r="12" spans="1:21">
      <c r="A12" s="256" t="s">
        <v>1487</v>
      </c>
      <c r="B12" s="256" t="s">
        <v>1464</v>
      </c>
      <c r="C12" s="257">
        <v>44539</v>
      </c>
      <c r="D12" s="257">
        <v>44545</v>
      </c>
      <c r="E12" s="257">
        <v>44545</v>
      </c>
      <c r="F12" s="257">
        <v>46371</v>
      </c>
      <c r="G12" s="258">
        <v>25000</v>
      </c>
      <c r="H12" s="258">
        <v>109803</v>
      </c>
      <c r="I12" s="259" t="s">
        <v>1488</v>
      </c>
      <c r="J12" s="258">
        <v>68003</v>
      </c>
      <c r="K12" s="260" t="s">
        <v>1473</v>
      </c>
      <c r="L12" s="258">
        <v>68003</v>
      </c>
      <c r="M12" s="261">
        <v>0.114</v>
      </c>
      <c r="N12" s="255"/>
      <c r="O12" s="255"/>
      <c r="S12">
        <v>2022</v>
      </c>
      <c r="T12" s="187">
        <f>AVERAGE(M13:M25)</f>
        <v>0.12217499999999999</v>
      </c>
      <c r="U12" s="3">
        <f>'Policy Rate'!D121</f>
        <v>0.14582876712328768</v>
      </c>
    </row>
    <row r="13" spans="1:21" ht="16.899999999999999">
      <c r="A13" s="256" t="s">
        <v>1489</v>
      </c>
      <c r="B13" s="256" t="s">
        <v>1464</v>
      </c>
      <c r="C13" s="257">
        <v>44567</v>
      </c>
      <c r="D13" s="257">
        <v>44573</v>
      </c>
      <c r="E13" s="257">
        <v>44545</v>
      </c>
      <c r="F13" s="257">
        <v>46371</v>
      </c>
      <c r="G13" s="258">
        <v>25000</v>
      </c>
      <c r="H13" s="258">
        <v>222715.4</v>
      </c>
      <c r="I13" s="256" t="s">
        <v>1490</v>
      </c>
      <c r="J13" s="258">
        <v>163835.4</v>
      </c>
      <c r="K13" s="262">
        <v>692</v>
      </c>
      <c r="L13" s="258">
        <v>164527.4</v>
      </c>
      <c r="M13" s="261">
        <v>0.114</v>
      </c>
      <c r="N13" s="263">
        <v>100.90779999999999</v>
      </c>
      <c r="O13" s="261">
        <v>0.1115</v>
      </c>
      <c r="S13">
        <v>2023</v>
      </c>
      <c r="T13" s="280">
        <f>AVERAGE(M26:M58)</f>
        <v>0.18196399999999996</v>
      </c>
      <c r="U13" s="3">
        <f>'Policy Rate'!D112</f>
        <v>0.21386301369863014</v>
      </c>
    </row>
    <row r="14" spans="1:21" ht="16.899999999999999">
      <c r="A14" s="256" t="s">
        <v>1491</v>
      </c>
      <c r="B14" s="256" t="s">
        <v>1464</v>
      </c>
      <c r="C14" s="257">
        <v>44602</v>
      </c>
      <c r="D14" s="257">
        <v>44608</v>
      </c>
      <c r="E14" s="257">
        <v>44545</v>
      </c>
      <c r="F14" s="257">
        <v>46371</v>
      </c>
      <c r="G14" s="258">
        <v>25000</v>
      </c>
      <c r="H14" s="258">
        <v>130250.5</v>
      </c>
      <c r="I14" s="256" t="s">
        <v>1492</v>
      </c>
      <c r="J14" s="258">
        <v>64995.5</v>
      </c>
      <c r="K14" s="258">
        <v>2059.5</v>
      </c>
      <c r="L14" s="258">
        <v>67055</v>
      </c>
      <c r="M14" s="261">
        <v>0.114</v>
      </c>
      <c r="N14" s="263">
        <v>102.3653</v>
      </c>
      <c r="O14" s="261">
        <v>0.107501</v>
      </c>
      <c r="S14">
        <v>2024</v>
      </c>
      <c r="T14" s="187">
        <f>M58</f>
        <v>0.1575</v>
      </c>
      <c r="U14" s="3">
        <f>'Policy Rate'!D103</f>
        <v>0.18032786885245902</v>
      </c>
    </row>
    <row r="15" spans="1:21" ht="16.899999999999999">
      <c r="A15" s="256" t="s">
        <v>1493</v>
      </c>
      <c r="B15" s="256" t="s">
        <v>1464</v>
      </c>
      <c r="C15" s="257">
        <v>44637</v>
      </c>
      <c r="D15" s="257">
        <v>44642</v>
      </c>
      <c r="E15" s="257">
        <v>44545</v>
      </c>
      <c r="F15" s="257">
        <v>46371</v>
      </c>
      <c r="G15" s="258">
        <v>25000</v>
      </c>
      <c r="H15" s="258">
        <v>69890.600000000006</v>
      </c>
      <c r="I15" s="256" t="s">
        <v>1494</v>
      </c>
      <c r="J15" s="258">
        <v>24105.599999999999</v>
      </c>
      <c r="K15" s="262">
        <v>137.5</v>
      </c>
      <c r="L15" s="258">
        <v>24243.1</v>
      </c>
      <c r="M15" s="261">
        <v>0.114</v>
      </c>
      <c r="N15" s="263">
        <v>100.175</v>
      </c>
      <c r="O15" s="261">
        <v>0.113403</v>
      </c>
    </row>
    <row r="16" spans="1:21">
      <c r="A16" s="256" t="s">
        <v>1495</v>
      </c>
      <c r="B16" s="256" t="s">
        <v>1464</v>
      </c>
      <c r="C16" s="257">
        <v>44672</v>
      </c>
      <c r="D16" s="257">
        <v>44678</v>
      </c>
      <c r="E16" s="257">
        <v>44678</v>
      </c>
      <c r="F16" s="257">
        <v>46504</v>
      </c>
      <c r="G16" s="258">
        <v>25000</v>
      </c>
      <c r="H16" s="258">
        <v>43107.4</v>
      </c>
      <c r="I16" s="259" t="s">
        <v>1496</v>
      </c>
      <c r="J16" s="258">
        <v>17599.900000000001</v>
      </c>
      <c r="K16" s="262">
        <v>150</v>
      </c>
      <c r="L16" s="258">
        <v>17749.900000000001</v>
      </c>
      <c r="M16" s="261">
        <v>0.1249</v>
      </c>
      <c r="N16" s="255"/>
      <c r="O16" s="255"/>
    </row>
    <row r="17" spans="1:15" ht="16.899999999999999">
      <c r="A17" s="256" t="s">
        <v>1497</v>
      </c>
      <c r="B17" s="256" t="s">
        <v>1464</v>
      </c>
      <c r="C17" s="257">
        <v>44707</v>
      </c>
      <c r="D17" s="257">
        <v>44713</v>
      </c>
      <c r="E17" s="257">
        <v>44678</v>
      </c>
      <c r="F17" s="257">
        <v>46504</v>
      </c>
      <c r="G17" s="258">
        <v>25000</v>
      </c>
      <c r="H17" s="258">
        <v>49150.2</v>
      </c>
      <c r="I17" s="256" t="s">
        <v>1498</v>
      </c>
      <c r="J17" s="258">
        <v>17400.2</v>
      </c>
      <c r="K17" s="262">
        <v>69.5</v>
      </c>
      <c r="L17" s="258">
        <v>17469.7</v>
      </c>
      <c r="M17" s="261">
        <v>0.1249</v>
      </c>
      <c r="N17" s="263">
        <v>98.372500000000002</v>
      </c>
      <c r="O17" s="261">
        <v>0.12939999999999999</v>
      </c>
    </row>
    <row r="18" spans="1:15" ht="16.899999999999999">
      <c r="A18" s="256" t="s">
        <v>1499</v>
      </c>
      <c r="B18" s="256" t="s">
        <v>1464</v>
      </c>
      <c r="C18" s="257">
        <v>44732</v>
      </c>
      <c r="D18" s="257">
        <v>44735</v>
      </c>
      <c r="E18" s="257">
        <v>44678</v>
      </c>
      <c r="F18" s="257">
        <v>46504</v>
      </c>
      <c r="G18" s="258">
        <v>25000</v>
      </c>
      <c r="H18" s="258">
        <v>23508.3</v>
      </c>
      <c r="I18" s="256" t="s">
        <v>1500</v>
      </c>
      <c r="J18" s="258">
        <v>6008.3</v>
      </c>
      <c r="K18" s="260" t="s">
        <v>1473</v>
      </c>
      <c r="L18" s="258">
        <v>6008.3</v>
      </c>
      <c r="M18" s="261">
        <v>0.1249</v>
      </c>
      <c r="N18" s="263">
        <v>98.372500000000002</v>
      </c>
      <c r="O18" s="261">
        <v>0.12940699999999999</v>
      </c>
    </row>
    <row r="19" spans="1:15" ht="16.899999999999999">
      <c r="A19" s="256" t="s">
        <v>1501</v>
      </c>
      <c r="B19" s="256" t="s">
        <v>1464</v>
      </c>
      <c r="C19" s="257">
        <v>44755</v>
      </c>
      <c r="D19" s="257">
        <v>44761</v>
      </c>
      <c r="E19" s="257">
        <v>44678</v>
      </c>
      <c r="F19" s="257">
        <v>46504</v>
      </c>
      <c r="G19" s="258">
        <v>25000</v>
      </c>
      <c r="H19" s="258">
        <v>29865.5</v>
      </c>
      <c r="I19" s="256" t="s">
        <v>1502</v>
      </c>
      <c r="J19" s="262">
        <v>65.5</v>
      </c>
      <c r="K19" s="262">
        <v>199.5</v>
      </c>
      <c r="L19" s="262">
        <v>265</v>
      </c>
      <c r="M19" s="261">
        <v>0.1249</v>
      </c>
      <c r="N19" s="263">
        <v>99.217500000000001</v>
      </c>
      <c r="O19" s="261">
        <v>0.127</v>
      </c>
    </row>
    <row r="20" spans="1:15" ht="16.899999999999999">
      <c r="A20" s="256" t="s">
        <v>1503</v>
      </c>
      <c r="B20" s="256" t="s">
        <v>1464</v>
      </c>
      <c r="C20" s="257">
        <v>44791</v>
      </c>
      <c r="D20" s="257">
        <v>44797</v>
      </c>
      <c r="E20" s="257">
        <v>44678</v>
      </c>
      <c r="F20" s="257">
        <v>46504</v>
      </c>
      <c r="G20" s="258">
        <v>30000</v>
      </c>
      <c r="H20" s="258">
        <v>35719</v>
      </c>
      <c r="I20" s="256" t="s">
        <v>1504</v>
      </c>
      <c r="J20" s="258">
        <v>19119</v>
      </c>
      <c r="K20" s="262">
        <v>200</v>
      </c>
      <c r="L20" s="258">
        <v>19319</v>
      </c>
      <c r="M20" s="261">
        <v>0.1249</v>
      </c>
      <c r="N20" s="263">
        <v>98.447100000000006</v>
      </c>
      <c r="O20" s="261">
        <v>0.1293</v>
      </c>
    </row>
    <row r="21" spans="1:15" ht="16.899999999999999">
      <c r="A21" s="256" t="s">
        <v>1505</v>
      </c>
      <c r="B21" s="256" t="s">
        <v>1464</v>
      </c>
      <c r="C21" s="257">
        <v>44826</v>
      </c>
      <c r="D21" s="257">
        <v>44832</v>
      </c>
      <c r="E21" s="257">
        <v>44678</v>
      </c>
      <c r="F21" s="257">
        <v>46504</v>
      </c>
      <c r="G21" s="258">
        <v>10000</v>
      </c>
      <c r="H21" s="258">
        <v>12525</v>
      </c>
      <c r="I21" s="256" t="s">
        <v>1506</v>
      </c>
      <c r="J21" s="262">
        <v>25</v>
      </c>
      <c r="K21" s="262">
        <v>50</v>
      </c>
      <c r="L21" s="262">
        <v>75</v>
      </c>
      <c r="M21" s="261">
        <v>0.1249</v>
      </c>
      <c r="N21" s="263">
        <v>98.588499999999996</v>
      </c>
      <c r="O21" s="261">
        <v>0.12900200000000001</v>
      </c>
    </row>
    <row r="22" spans="1:15" ht="16.899999999999999">
      <c r="A22" s="256" t="s">
        <v>1507</v>
      </c>
      <c r="B22" s="256" t="s">
        <v>1464</v>
      </c>
      <c r="C22" s="257">
        <v>44854</v>
      </c>
      <c r="D22" s="257">
        <v>44860</v>
      </c>
      <c r="E22" s="257">
        <v>44860</v>
      </c>
      <c r="F22" s="257">
        <v>46686</v>
      </c>
      <c r="G22" s="258">
        <v>30000</v>
      </c>
      <c r="H22" s="258">
        <v>5590</v>
      </c>
      <c r="I22" s="259" t="s">
        <v>1508</v>
      </c>
      <c r="J22" s="259" t="s">
        <v>1472</v>
      </c>
      <c r="K22" s="260" t="s">
        <v>1473</v>
      </c>
      <c r="L22" s="260" t="s">
        <v>1473</v>
      </c>
      <c r="M22" s="255"/>
      <c r="N22" s="255"/>
      <c r="O22" s="255"/>
    </row>
    <row r="23" spans="1:15">
      <c r="A23" s="256" t="s">
        <v>1509</v>
      </c>
      <c r="B23" s="256" t="s">
        <v>1464</v>
      </c>
      <c r="C23" s="257">
        <v>44875</v>
      </c>
      <c r="D23" s="257">
        <v>44881</v>
      </c>
      <c r="E23" s="257">
        <v>44881</v>
      </c>
      <c r="F23" s="257">
        <v>46707</v>
      </c>
      <c r="G23" s="258">
        <v>30000</v>
      </c>
      <c r="H23" s="262">
        <v>25.5</v>
      </c>
      <c r="I23" s="259" t="s">
        <v>1510</v>
      </c>
      <c r="J23" s="262">
        <v>25</v>
      </c>
      <c r="K23" s="262">
        <v>174.5</v>
      </c>
      <c r="L23" s="262">
        <v>199.5</v>
      </c>
      <c r="M23" s="261">
        <v>0.1249</v>
      </c>
      <c r="N23" s="255"/>
      <c r="O23" s="255"/>
    </row>
    <row r="24" spans="1:15" ht="16.899999999999999">
      <c r="A24" s="256" t="s">
        <v>1511</v>
      </c>
      <c r="B24" s="256" t="s">
        <v>1464</v>
      </c>
      <c r="C24" s="257">
        <v>44896</v>
      </c>
      <c r="D24" s="257">
        <v>44902</v>
      </c>
      <c r="E24" s="257">
        <v>44881</v>
      </c>
      <c r="F24" s="257">
        <v>46707</v>
      </c>
      <c r="G24" s="258">
        <v>30000</v>
      </c>
      <c r="H24" s="262">
        <v>0.8</v>
      </c>
      <c r="I24" s="256" t="s">
        <v>1512</v>
      </c>
      <c r="J24" s="259" t="s">
        <v>1472</v>
      </c>
      <c r="K24" s="260" t="s">
        <v>1473</v>
      </c>
      <c r="L24" s="260" t="s">
        <v>1473</v>
      </c>
      <c r="M24" s="261">
        <v>0.1249</v>
      </c>
      <c r="N24" s="255"/>
      <c r="O24" s="255"/>
    </row>
    <row r="25" spans="1:15" ht="16.899999999999999">
      <c r="A25" s="256" t="s">
        <v>1513</v>
      </c>
      <c r="B25" s="256" t="s">
        <v>1464</v>
      </c>
      <c r="C25" s="257">
        <v>44903</v>
      </c>
      <c r="D25" s="257">
        <v>44907</v>
      </c>
      <c r="E25" s="257">
        <v>44881</v>
      </c>
      <c r="F25" s="257">
        <v>46707</v>
      </c>
      <c r="G25" s="258">
        <v>30000</v>
      </c>
      <c r="H25" s="264" t="s">
        <v>1514</v>
      </c>
      <c r="I25" s="256" t="s">
        <v>1473</v>
      </c>
      <c r="J25" s="256" t="s">
        <v>1473</v>
      </c>
      <c r="K25" s="260" t="s">
        <v>1473</v>
      </c>
      <c r="L25" s="260" t="s">
        <v>1473</v>
      </c>
      <c r="M25" s="261">
        <v>0.1249</v>
      </c>
      <c r="N25" s="255"/>
      <c r="O25" s="255"/>
    </row>
    <row r="26" spans="1:15" ht="16.899999999999999">
      <c r="A26" s="256" t="s">
        <v>1515</v>
      </c>
      <c r="B26" s="256" t="s">
        <v>1516</v>
      </c>
      <c r="C26" s="257">
        <v>44929</v>
      </c>
      <c r="D26" s="257">
        <v>44931</v>
      </c>
      <c r="E26" s="257">
        <v>44931</v>
      </c>
      <c r="F26" s="257">
        <v>46027</v>
      </c>
      <c r="G26" s="258">
        <v>20000</v>
      </c>
      <c r="H26" s="264" t="s">
        <v>1514</v>
      </c>
      <c r="I26" s="256" t="s">
        <v>1473</v>
      </c>
      <c r="J26" s="256" t="s">
        <v>1473</v>
      </c>
      <c r="K26" s="260" t="s">
        <v>1473</v>
      </c>
      <c r="L26" s="260" t="s">
        <v>1473</v>
      </c>
      <c r="M26" s="255"/>
      <c r="N26" s="255"/>
      <c r="O26" s="255"/>
    </row>
    <row r="27" spans="1:15" ht="16.899999999999999">
      <c r="A27" s="256" t="s">
        <v>1517</v>
      </c>
      <c r="B27" s="256" t="s">
        <v>1464</v>
      </c>
      <c r="C27" s="257">
        <v>44929</v>
      </c>
      <c r="D27" s="257">
        <v>44931</v>
      </c>
      <c r="E27" s="257">
        <v>44881</v>
      </c>
      <c r="F27" s="257">
        <v>46707</v>
      </c>
      <c r="G27" s="258">
        <v>30000</v>
      </c>
      <c r="H27" s="264" t="s">
        <v>1514</v>
      </c>
      <c r="I27" s="256" t="s">
        <v>1473</v>
      </c>
      <c r="J27" s="256" t="s">
        <v>1473</v>
      </c>
      <c r="K27" s="260" t="s">
        <v>1473</v>
      </c>
      <c r="L27" s="260" t="s">
        <v>1473</v>
      </c>
      <c r="M27" s="255"/>
      <c r="N27" s="255"/>
      <c r="O27" s="255"/>
    </row>
    <row r="28" spans="1:15">
      <c r="A28" s="256" t="s">
        <v>1518</v>
      </c>
      <c r="B28" s="256" t="s">
        <v>1519</v>
      </c>
      <c r="C28" s="257">
        <v>44973</v>
      </c>
      <c r="D28" s="257">
        <v>44977</v>
      </c>
      <c r="E28" s="257">
        <v>44977</v>
      </c>
      <c r="F28" s="257">
        <v>45342</v>
      </c>
      <c r="G28" s="258">
        <v>10000</v>
      </c>
      <c r="H28" s="262">
        <v>0.5</v>
      </c>
      <c r="I28" s="259" t="s">
        <v>1520</v>
      </c>
      <c r="J28" s="262">
        <v>0.5</v>
      </c>
      <c r="K28" s="260" t="s">
        <v>1473</v>
      </c>
      <c r="L28" s="262">
        <v>0.5</v>
      </c>
      <c r="M28" s="261">
        <v>0.17499999999999999</v>
      </c>
      <c r="N28" s="255"/>
      <c r="O28" s="255"/>
    </row>
    <row r="29" spans="1:15" ht="16.899999999999999">
      <c r="A29" s="256" t="s">
        <v>1521</v>
      </c>
      <c r="B29" s="256" t="s">
        <v>1516</v>
      </c>
      <c r="C29" s="257">
        <v>44973</v>
      </c>
      <c r="D29" s="257">
        <v>44977</v>
      </c>
      <c r="E29" s="257">
        <v>44931</v>
      </c>
      <c r="F29" s="257">
        <v>46027</v>
      </c>
      <c r="G29" s="258">
        <v>10000</v>
      </c>
      <c r="H29" s="262">
        <v>2.5</v>
      </c>
      <c r="I29" s="259" t="s">
        <v>1522</v>
      </c>
      <c r="J29" s="259" t="s">
        <v>1472</v>
      </c>
      <c r="K29" s="260" t="s">
        <v>1473</v>
      </c>
      <c r="L29" s="260" t="s">
        <v>1473</v>
      </c>
      <c r="M29" s="255"/>
      <c r="N29" s="255"/>
      <c r="O29" s="255"/>
    </row>
    <row r="30" spans="1:15" ht="16.899999999999999">
      <c r="A30" s="256" t="s">
        <v>1523</v>
      </c>
      <c r="B30" s="256" t="s">
        <v>1464</v>
      </c>
      <c r="C30" s="257">
        <v>44973</v>
      </c>
      <c r="D30" s="257">
        <v>44977</v>
      </c>
      <c r="E30" s="257">
        <v>44881</v>
      </c>
      <c r="F30" s="257">
        <v>46707</v>
      </c>
      <c r="G30" s="258">
        <v>10000</v>
      </c>
      <c r="H30" s="264" t="s">
        <v>1514</v>
      </c>
      <c r="I30" s="256" t="s">
        <v>1473</v>
      </c>
      <c r="J30" s="264" t="s">
        <v>1514</v>
      </c>
      <c r="K30" s="260" t="s">
        <v>1473</v>
      </c>
      <c r="L30" s="260" t="s">
        <v>1473</v>
      </c>
      <c r="M30" s="255"/>
      <c r="N30" s="255"/>
      <c r="O30" s="255"/>
    </row>
    <row r="31" spans="1:15" ht="16.899999999999999">
      <c r="A31" s="256" t="s">
        <v>1524</v>
      </c>
      <c r="B31" s="256" t="s">
        <v>1519</v>
      </c>
      <c r="C31" s="257">
        <v>44991</v>
      </c>
      <c r="D31" s="257">
        <v>44993</v>
      </c>
      <c r="E31" s="257">
        <v>44993</v>
      </c>
      <c r="F31" s="257">
        <v>45359</v>
      </c>
      <c r="G31" s="258">
        <v>10000</v>
      </c>
      <c r="H31" s="258">
        <v>6150</v>
      </c>
      <c r="I31" s="259" t="s">
        <v>1525</v>
      </c>
      <c r="J31" s="258">
        <v>1150</v>
      </c>
      <c r="K31" s="260" t="s">
        <v>1473</v>
      </c>
      <c r="L31" s="258">
        <v>1150</v>
      </c>
      <c r="M31" s="261">
        <v>0.20699999999999999</v>
      </c>
      <c r="N31" s="255"/>
      <c r="O31" s="255"/>
    </row>
    <row r="32" spans="1:15" ht="16.899999999999999">
      <c r="A32" s="256" t="s">
        <v>1526</v>
      </c>
      <c r="B32" s="256" t="s">
        <v>1516</v>
      </c>
      <c r="C32" s="257">
        <v>44991</v>
      </c>
      <c r="D32" s="257">
        <v>44993</v>
      </c>
      <c r="E32" s="257">
        <v>44993</v>
      </c>
      <c r="F32" s="257">
        <v>46089</v>
      </c>
      <c r="G32" s="258">
        <v>10000</v>
      </c>
      <c r="H32" s="264" t="s">
        <v>1514</v>
      </c>
      <c r="I32" s="255"/>
      <c r="J32" s="256" t="s">
        <v>1473</v>
      </c>
      <c r="K32" s="260" t="s">
        <v>1473</v>
      </c>
      <c r="L32" s="260" t="s">
        <v>1473</v>
      </c>
      <c r="M32" s="255"/>
      <c r="N32" s="255"/>
      <c r="O32" s="255"/>
    </row>
    <row r="33" spans="1:15" ht="16.899999999999999">
      <c r="A33" s="256" t="s">
        <v>1527</v>
      </c>
      <c r="B33" s="256" t="s">
        <v>1464</v>
      </c>
      <c r="C33" s="257">
        <v>44991</v>
      </c>
      <c r="D33" s="257">
        <v>44993</v>
      </c>
      <c r="E33" s="257">
        <v>44881</v>
      </c>
      <c r="F33" s="257">
        <v>46707</v>
      </c>
      <c r="G33" s="258">
        <v>10000</v>
      </c>
      <c r="H33" s="264" t="s">
        <v>1514</v>
      </c>
      <c r="I33" s="255"/>
      <c r="J33" s="256" t="s">
        <v>1473</v>
      </c>
      <c r="K33" s="260" t="s">
        <v>1473</v>
      </c>
      <c r="L33" s="260" t="s">
        <v>1473</v>
      </c>
      <c r="M33" s="261">
        <v>0.1249</v>
      </c>
      <c r="N33" s="255"/>
      <c r="O33" s="255"/>
    </row>
    <row r="34" spans="1:15" ht="16.899999999999999">
      <c r="A34" s="256" t="s">
        <v>1528</v>
      </c>
      <c r="B34" s="256" t="s">
        <v>1519</v>
      </c>
      <c r="C34" s="257">
        <v>45029</v>
      </c>
      <c r="D34" s="257">
        <v>45033</v>
      </c>
      <c r="E34" s="257">
        <v>45033</v>
      </c>
      <c r="F34" s="257">
        <v>45399</v>
      </c>
      <c r="G34" s="258">
        <v>10000</v>
      </c>
      <c r="H34" s="258">
        <v>14591.7</v>
      </c>
      <c r="I34" s="259" t="s">
        <v>1529</v>
      </c>
      <c r="J34" s="258">
        <v>11290.6</v>
      </c>
      <c r="K34" s="262">
        <v>175</v>
      </c>
      <c r="L34" s="258">
        <v>11465.6</v>
      </c>
      <c r="M34" s="261">
        <v>0.21249999999999999</v>
      </c>
      <c r="N34" s="255"/>
      <c r="O34" s="255"/>
    </row>
    <row r="35" spans="1:15">
      <c r="A35" s="256" t="s">
        <v>1530</v>
      </c>
      <c r="B35" s="256" t="s">
        <v>1516</v>
      </c>
      <c r="C35" s="257">
        <v>45029</v>
      </c>
      <c r="D35" s="257">
        <v>45033</v>
      </c>
      <c r="E35" s="257">
        <v>45033</v>
      </c>
      <c r="F35" s="257">
        <v>46129</v>
      </c>
      <c r="G35" s="258">
        <v>10000</v>
      </c>
      <c r="H35" s="258">
        <v>25005</v>
      </c>
      <c r="I35" s="259" t="s">
        <v>1531</v>
      </c>
      <c r="J35" s="258">
        <v>25005</v>
      </c>
      <c r="K35" s="260" t="s">
        <v>1473</v>
      </c>
      <c r="L35" s="258">
        <v>25005</v>
      </c>
      <c r="M35" s="261">
        <v>0.18240000000000001</v>
      </c>
      <c r="N35" s="255"/>
      <c r="O35" s="255"/>
    </row>
    <row r="36" spans="1:15" ht="16.899999999999999">
      <c r="A36" s="256" t="s">
        <v>1532</v>
      </c>
      <c r="B36" s="256" t="s">
        <v>1464</v>
      </c>
      <c r="C36" s="257">
        <v>45029</v>
      </c>
      <c r="D36" s="257">
        <v>45033</v>
      </c>
      <c r="E36" s="257">
        <v>44881</v>
      </c>
      <c r="F36" s="257">
        <v>46707</v>
      </c>
      <c r="G36" s="258">
        <v>10000</v>
      </c>
      <c r="H36" s="264" t="s">
        <v>1514</v>
      </c>
      <c r="I36" s="255"/>
      <c r="J36" s="256" t="s">
        <v>1473</v>
      </c>
      <c r="K36" s="260" t="s">
        <v>1473</v>
      </c>
      <c r="L36" s="260" t="s">
        <v>1473</v>
      </c>
      <c r="M36" s="261">
        <v>0.1249</v>
      </c>
      <c r="N36" s="255"/>
      <c r="O36" s="255"/>
    </row>
    <row r="37" spans="1:15" ht="16.899999999999999">
      <c r="A37" s="256" t="s">
        <v>1533</v>
      </c>
      <c r="B37" s="256" t="s">
        <v>1519</v>
      </c>
      <c r="C37" s="257">
        <v>45064</v>
      </c>
      <c r="D37" s="257">
        <v>45068</v>
      </c>
      <c r="E37" s="257">
        <v>45068</v>
      </c>
      <c r="F37" s="257">
        <v>45434</v>
      </c>
      <c r="G37" s="258">
        <v>10000</v>
      </c>
      <c r="H37" s="258">
        <v>1251.5999999999999</v>
      </c>
      <c r="I37" s="259" t="s">
        <v>1534</v>
      </c>
      <c r="J37" s="258">
        <v>1251.5999999999999</v>
      </c>
      <c r="K37" s="262">
        <v>125</v>
      </c>
      <c r="L37" s="258">
        <v>1376.6</v>
      </c>
      <c r="M37" s="261">
        <v>0.21299999999999999</v>
      </c>
      <c r="N37" s="255"/>
      <c r="O37" s="255"/>
    </row>
    <row r="38" spans="1:15" ht="16.899999999999999">
      <c r="A38" s="256" t="s">
        <v>1535</v>
      </c>
      <c r="B38" s="256" t="s">
        <v>1516</v>
      </c>
      <c r="C38" s="257">
        <v>45064</v>
      </c>
      <c r="D38" s="257">
        <v>45068</v>
      </c>
      <c r="E38" s="257">
        <v>45033</v>
      </c>
      <c r="F38" s="257">
        <v>46129</v>
      </c>
      <c r="G38" s="258">
        <v>10000</v>
      </c>
      <c r="H38" s="262">
        <v>0.1</v>
      </c>
      <c r="I38" s="256" t="s">
        <v>1536</v>
      </c>
      <c r="J38" s="259" t="s">
        <v>1472</v>
      </c>
      <c r="K38" s="260" t="s">
        <v>1473</v>
      </c>
      <c r="L38" s="260" t="s">
        <v>1473</v>
      </c>
      <c r="M38" s="261">
        <v>0.18240000000000001</v>
      </c>
      <c r="N38" s="255"/>
      <c r="O38" s="255"/>
    </row>
    <row r="39" spans="1:15" ht="16.899999999999999">
      <c r="A39" s="256" t="s">
        <v>1537</v>
      </c>
      <c r="B39" s="256" t="s">
        <v>1464</v>
      </c>
      <c r="C39" s="257">
        <v>45064</v>
      </c>
      <c r="D39" s="257">
        <v>45068</v>
      </c>
      <c r="E39" s="257">
        <v>44881</v>
      </c>
      <c r="F39" s="257">
        <v>46707</v>
      </c>
      <c r="G39" s="258">
        <v>10000</v>
      </c>
      <c r="H39" s="264" t="s">
        <v>1514</v>
      </c>
      <c r="I39" s="255"/>
      <c r="J39" s="256" t="s">
        <v>1473</v>
      </c>
      <c r="K39" s="260" t="s">
        <v>1473</v>
      </c>
      <c r="L39" s="260" t="s">
        <v>1473</v>
      </c>
      <c r="M39" s="261">
        <v>0.1249</v>
      </c>
      <c r="N39" s="255"/>
      <c r="O39" s="255"/>
    </row>
    <row r="40" spans="1:15" ht="16.899999999999999">
      <c r="A40" s="256" t="s">
        <v>1538</v>
      </c>
      <c r="B40" s="256" t="s">
        <v>1519</v>
      </c>
      <c r="C40" s="257">
        <v>45099</v>
      </c>
      <c r="D40" s="257">
        <v>45103</v>
      </c>
      <c r="E40" s="257">
        <v>45103</v>
      </c>
      <c r="F40" s="257">
        <v>45469</v>
      </c>
      <c r="G40" s="258">
        <v>20000</v>
      </c>
      <c r="H40" s="262">
        <v>691</v>
      </c>
      <c r="I40" s="259" t="s">
        <v>1539</v>
      </c>
      <c r="J40" s="262">
        <v>691</v>
      </c>
      <c r="K40" s="262">
        <v>210</v>
      </c>
      <c r="L40" s="262">
        <v>901</v>
      </c>
      <c r="M40" s="261">
        <v>0.21290000000000001</v>
      </c>
      <c r="N40" s="255"/>
      <c r="O40" s="255"/>
    </row>
    <row r="41" spans="1:15" ht="16.899999999999999">
      <c r="A41" s="256" t="s">
        <v>1540</v>
      </c>
      <c r="B41" s="256" t="s">
        <v>1516</v>
      </c>
      <c r="C41" s="257">
        <v>45099</v>
      </c>
      <c r="D41" s="257">
        <v>45103</v>
      </c>
      <c r="E41" s="257">
        <v>45103</v>
      </c>
      <c r="F41" s="257">
        <v>46199</v>
      </c>
      <c r="G41" s="258">
        <v>20000</v>
      </c>
      <c r="H41" s="258">
        <v>200172.5</v>
      </c>
      <c r="I41" s="259" t="s">
        <v>1541</v>
      </c>
      <c r="J41" s="258">
        <v>75052.5</v>
      </c>
      <c r="K41" s="262">
        <v>50</v>
      </c>
      <c r="L41" s="258">
        <v>75102.5</v>
      </c>
      <c r="M41" s="261">
        <v>0.18490000000000001</v>
      </c>
      <c r="N41" s="255"/>
      <c r="O41" s="255"/>
    </row>
    <row r="42" spans="1:15" ht="16.899999999999999">
      <c r="A42" s="256" t="s">
        <v>1542</v>
      </c>
      <c r="B42" s="256" t="s">
        <v>1464</v>
      </c>
      <c r="C42" s="257">
        <v>45099</v>
      </c>
      <c r="D42" s="257">
        <v>45103</v>
      </c>
      <c r="E42" s="257">
        <v>45103</v>
      </c>
      <c r="F42" s="257">
        <v>46930</v>
      </c>
      <c r="G42" s="258">
        <v>20000</v>
      </c>
      <c r="H42" s="264" t="s">
        <v>1514</v>
      </c>
      <c r="I42" s="255"/>
      <c r="J42" s="256" t="s">
        <v>1473</v>
      </c>
      <c r="K42" s="260" t="s">
        <v>1473</v>
      </c>
      <c r="L42" s="260" t="s">
        <v>1473</v>
      </c>
      <c r="M42" s="255"/>
      <c r="N42" s="255"/>
      <c r="O42" s="255"/>
    </row>
    <row r="43" spans="1:15">
      <c r="A43" s="256" t="s">
        <v>1543</v>
      </c>
      <c r="B43" s="256" t="s">
        <v>1519</v>
      </c>
      <c r="C43" s="257">
        <v>45117</v>
      </c>
      <c r="D43" s="257">
        <v>45119</v>
      </c>
      <c r="E43" s="257">
        <v>45119</v>
      </c>
      <c r="F43" s="257">
        <v>45485</v>
      </c>
      <c r="G43" s="258">
        <v>30000</v>
      </c>
      <c r="H43" s="258">
        <v>6387.3</v>
      </c>
      <c r="I43" s="259" t="s">
        <v>1544</v>
      </c>
      <c r="J43" s="258">
        <v>6387.3</v>
      </c>
      <c r="K43" s="260" t="s">
        <v>1473</v>
      </c>
      <c r="L43" s="258">
        <v>6387.3</v>
      </c>
      <c r="M43" s="261">
        <v>0.2215</v>
      </c>
      <c r="N43" s="255"/>
      <c r="O43" s="255"/>
    </row>
    <row r="44" spans="1:15" ht="16.899999999999999">
      <c r="A44" s="256" t="s">
        <v>1545</v>
      </c>
      <c r="B44" s="256" t="s">
        <v>1516</v>
      </c>
      <c r="C44" s="257">
        <v>45117</v>
      </c>
      <c r="D44" s="257">
        <v>45119</v>
      </c>
      <c r="E44" s="257">
        <v>45103</v>
      </c>
      <c r="F44" s="257">
        <v>46199</v>
      </c>
      <c r="G44" s="258">
        <v>30000</v>
      </c>
      <c r="H44" s="258">
        <v>140037.5</v>
      </c>
      <c r="I44" s="256" t="s">
        <v>1546</v>
      </c>
      <c r="J44" s="258">
        <v>115037.5</v>
      </c>
      <c r="K44" s="260" t="s">
        <v>1473</v>
      </c>
      <c r="L44" s="258">
        <v>115037.5</v>
      </c>
      <c r="M44" s="261">
        <v>0.18490000000000001</v>
      </c>
      <c r="N44" s="263">
        <v>98.873999999999995</v>
      </c>
      <c r="O44" s="261">
        <v>0.18990000000000001</v>
      </c>
    </row>
    <row r="45" spans="1:15" ht="16.899999999999999">
      <c r="A45" s="256" t="s">
        <v>1547</v>
      </c>
      <c r="B45" s="256" t="s">
        <v>1464</v>
      </c>
      <c r="C45" s="257">
        <v>45117</v>
      </c>
      <c r="D45" s="257">
        <v>45119</v>
      </c>
      <c r="E45" s="257">
        <v>45119</v>
      </c>
      <c r="F45" s="257">
        <v>46946</v>
      </c>
      <c r="G45" s="258">
        <v>30000</v>
      </c>
      <c r="H45" s="258">
        <v>75000</v>
      </c>
      <c r="I45" s="259" t="s">
        <v>1548</v>
      </c>
      <c r="J45" s="259" t="s">
        <v>1472</v>
      </c>
      <c r="K45" s="260" t="s">
        <v>1473</v>
      </c>
      <c r="L45" s="260" t="s">
        <v>1473</v>
      </c>
      <c r="M45" s="255"/>
      <c r="N45" s="255"/>
      <c r="O45" s="255"/>
    </row>
    <row r="46" spans="1:15" ht="16.899999999999999">
      <c r="A46" s="256" t="s">
        <v>1549</v>
      </c>
      <c r="B46" s="256" t="s">
        <v>1519</v>
      </c>
      <c r="C46" s="257">
        <v>45141</v>
      </c>
      <c r="D46" s="257">
        <v>45145</v>
      </c>
      <c r="E46" s="257">
        <v>45145</v>
      </c>
      <c r="F46" s="257">
        <v>45511</v>
      </c>
      <c r="G46" s="258">
        <v>30000</v>
      </c>
      <c r="H46" s="258">
        <v>1810.9</v>
      </c>
      <c r="I46" s="259" t="s">
        <v>1529</v>
      </c>
      <c r="J46" s="258">
        <v>1800.9</v>
      </c>
      <c r="K46" s="262">
        <v>360</v>
      </c>
      <c r="L46" s="258">
        <v>2160.9</v>
      </c>
      <c r="M46" s="261">
        <v>0.22</v>
      </c>
      <c r="N46" s="255"/>
      <c r="O46" s="255"/>
    </row>
    <row r="47" spans="1:15" ht="16.899999999999999">
      <c r="A47" s="266" t="s">
        <v>1550</v>
      </c>
      <c r="B47" s="266" t="s">
        <v>1516</v>
      </c>
      <c r="C47" s="267">
        <v>45141</v>
      </c>
      <c r="D47" s="267">
        <v>45145</v>
      </c>
      <c r="E47" s="267">
        <v>45103</v>
      </c>
      <c r="F47" s="267">
        <v>46199</v>
      </c>
      <c r="G47" s="268">
        <v>30000</v>
      </c>
      <c r="H47" s="268">
        <v>82245</v>
      </c>
      <c r="I47" s="266" t="s">
        <v>1551</v>
      </c>
      <c r="J47" s="268">
        <v>68245</v>
      </c>
      <c r="K47" s="272">
        <v>140</v>
      </c>
      <c r="L47" s="268">
        <v>68385</v>
      </c>
      <c r="M47" s="271">
        <v>0.18490000000000001</v>
      </c>
      <c r="N47" s="273">
        <v>98.406899999999993</v>
      </c>
      <c r="O47" s="271">
        <v>0.191999</v>
      </c>
    </row>
    <row r="48" spans="1:15" ht="16.899999999999999">
      <c r="A48" s="266" t="s">
        <v>1552</v>
      </c>
      <c r="B48" s="266" t="s">
        <v>1464</v>
      </c>
      <c r="C48" s="267">
        <v>45141</v>
      </c>
      <c r="D48" s="267">
        <v>45145</v>
      </c>
      <c r="E48" s="267">
        <v>45145</v>
      </c>
      <c r="F48" s="267">
        <v>46972</v>
      </c>
      <c r="G48" s="268">
        <v>30000</v>
      </c>
      <c r="H48" s="268">
        <v>75000</v>
      </c>
      <c r="I48" s="269" t="s">
        <v>1553</v>
      </c>
      <c r="J48" s="269" t="s">
        <v>1472</v>
      </c>
      <c r="K48" s="270" t="s">
        <v>1473</v>
      </c>
      <c r="L48" s="270" t="s">
        <v>1473</v>
      </c>
      <c r="M48" s="265"/>
      <c r="N48" s="265"/>
      <c r="O48" s="265"/>
    </row>
    <row r="49" spans="1:15" ht="16.899999999999999">
      <c r="A49" s="266" t="s">
        <v>1554</v>
      </c>
      <c r="B49" s="266" t="s">
        <v>1519</v>
      </c>
      <c r="C49" s="267">
        <v>45187</v>
      </c>
      <c r="D49" s="267">
        <v>45189</v>
      </c>
      <c r="E49" s="267">
        <v>45189</v>
      </c>
      <c r="F49" s="267">
        <v>45555</v>
      </c>
      <c r="G49" s="268">
        <v>20000</v>
      </c>
      <c r="H49" s="268">
        <v>10054.5</v>
      </c>
      <c r="I49" s="269" t="s">
        <v>1555</v>
      </c>
      <c r="J49" s="268">
        <v>10051.700000000001</v>
      </c>
      <c r="K49" s="272">
        <v>110</v>
      </c>
      <c r="L49" s="268">
        <v>10161.700000000001</v>
      </c>
      <c r="M49" s="271">
        <v>0.22950000000000001</v>
      </c>
      <c r="N49" s="265"/>
      <c r="O49" s="265"/>
    </row>
    <row r="50" spans="1:15" ht="16.899999999999999">
      <c r="A50" s="266" t="s">
        <v>1556</v>
      </c>
      <c r="B50" s="266" t="s">
        <v>1516</v>
      </c>
      <c r="C50" s="267">
        <v>45187</v>
      </c>
      <c r="D50" s="267">
        <v>45189</v>
      </c>
      <c r="E50" s="267">
        <v>45103</v>
      </c>
      <c r="F50" s="267">
        <v>46199</v>
      </c>
      <c r="G50" s="268">
        <v>20000</v>
      </c>
      <c r="H50" s="268">
        <v>13778.5</v>
      </c>
      <c r="I50" s="266" t="s">
        <v>1557</v>
      </c>
      <c r="J50" s="272">
        <v>278.5</v>
      </c>
      <c r="K50" s="272">
        <v>50</v>
      </c>
      <c r="L50" s="272">
        <v>328.5</v>
      </c>
      <c r="M50" s="271">
        <v>0.18490000000000001</v>
      </c>
      <c r="N50" s="273">
        <v>98.444900000000004</v>
      </c>
      <c r="O50" s="271">
        <v>0.19189999999999999</v>
      </c>
    </row>
    <row r="51" spans="1:15">
      <c r="A51" s="266" t="s">
        <v>1558</v>
      </c>
      <c r="B51" s="266" t="s">
        <v>1464</v>
      </c>
      <c r="C51" s="267">
        <v>45187</v>
      </c>
      <c r="D51" s="267">
        <v>45189</v>
      </c>
      <c r="E51" s="267">
        <v>45189</v>
      </c>
      <c r="F51" s="267">
        <v>47016</v>
      </c>
      <c r="G51" s="268">
        <v>20000</v>
      </c>
      <c r="H51" s="268">
        <v>10900</v>
      </c>
      <c r="I51" s="269" t="s">
        <v>1559</v>
      </c>
      <c r="J51" s="272">
        <v>100</v>
      </c>
      <c r="K51" s="272">
        <v>100</v>
      </c>
      <c r="L51" s="272">
        <v>200</v>
      </c>
      <c r="M51" s="271">
        <v>0.16500000000000001</v>
      </c>
      <c r="N51" s="265"/>
      <c r="O51" s="265"/>
    </row>
    <row r="52" spans="1:15" ht="16.899999999999999">
      <c r="A52" s="266" t="s">
        <v>1560</v>
      </c>
      <c r="B52" s="266" t="s">
        <v>1519</v>
      </c>
      <c r="C52" s="267">
        <v>45204</v>
      </c>
      <c r="D52" s="267">
        <v>45208</v>
      </c>
      <c r="E52" s="267">
        <v>45208</v>
      </c>
      <c r="F52" s="267">
        <v>45574</v>
      </c>
      <c r="G52" s="268">
        <v>40000</v>
      </c>
      <c r="H52" s="268">
        <v>291289.09999999998</v>
      </c>
      <c r="I52" s="269" t="s">
        <v>1561</v>
      </c>
      <c r="J52" s="268">
        <v>110419.1</v>
      </c>
      <c r="K52" s="272">
        <v>830</v>
      </c>
      <c r="L52" s="268">
        <v>111249.1</v>
      </c>
      <c r="M52" s="271">
        <v>0.22489999999999999</v>
      </c>
      <c r="N52" s="265"/>
      <c r="O52" s="265"/>
    </row>
    <row r="53" spans="1:15" ht="16.899999999999999">
      <c r="A53" s="266" t="s">
        <v>1562</v>
      </c>
      <c r="B53" s="266" t="s">
        <v>1516</v>
      </c>
      <c r="C53" s="267">
        <v>45204</v>
      </c>
      <c r="D53" s="267">
        <v>45208</v>
      </c>
      <c r="E53" s="267">
        <v>45103</v>
      </c>
      <c r="F53" s="267">
        <v>46199</v>
      </c>
      <c r="G53" s="268">
        <v>40000</v>
      </c>
      <c r="H53" s="268">
        <v>167330</v>
      </c>
      <c r="I53" s="266" t="s">
        <v>1563</v>
      </c>
      <c r="J53" s="268">
        <v>101200</v>
      </c>
      <c r="K53" s="272">
        <v>600</v>
      </c>
      <c r="L53" s="268">
        <v>101800</v>
      </c>
      <c r="M53" s="271">
        <v>0.18490000000000001</v>
      </c>
      <c r="N53" s="273">
        <v>98.955600000000004</v>
      </c>
      <c r="O53" s="271">
        <v>0.1895</v>
      </c>
    </row>
    <row r="54" spans="1:15" ht="16.899999999999999">
      <c r="A54" s="266" t="s">
        <v>1564</v>
      </c>
      <c r="B54" s="266" t="s">
        <v>1464</v>
      </c>
      <c r="C54" s="267">
        <v>45204</v>
      </c>
      <c r="D54" s="267">
        <v>45208</v>
      </c>
      <c r="E54" s="267">
        <v>45189</v>
      </c>
      <c r="F54" s="267">
        <v>47016</v>
      </c>
      <c r="G54" s="268">
        <v>40000</v>
      </c>
      <c r="H54" s="268">
        <v>40300</v>
      </c>
      <c r="I54" s="266" t="s">
        <v>1565</v>
      </c>
      <c r="J54" s="272">
        <v>300</v>
      </c>
      <c r="K54" s="272">
        <v>100</v>
      </c>
      <c r="L54" s="272">
        <v>400</v>
      </c>
      <c r="M54" s="271">
        <v>0.16500000000000001</v>
      </c>
      <c r="N54" s="273">
        <v>100.0338</v>
      </c>
      <c r="O54" s="271">
        <v>0.16480600000000001</v>
      </c>
    </row>
    <row r="55" spans="1:15" ht="16.899999999999999">
      <c r="A55" s="266" t="s">
        <v>1566</v>
      </c>
      <c r="B55" s="266" t="s">
        <v>1516</v>
      </c>
      <c r="C55" s="267">
        <v>45260</v>
      </c>
      <c r="D55" s="267">
        <v>45264</v>
      </c>
      <c r="E55" s="267">
        <v>45264</v>
      </c>
      <c r="F55" s="267">
        <v>46360</v>
      </c>
      <c r="G55" s="268">
        <v>30000</v>
      </c>
      <c r="H55" s="268">
        <v>149920.70000000001</v>
      </c>
      <c r="I55" s="269" t="s">
        <v>1567</v>
      </c>
      <c r="J55" s="268">
        <v>30055</v>
      </c>
      <c r="K55" s="268">
        <v>4247</v>
      </c>
      <c r="L55" s="268">
        <v>34302</v>
      </c>
      <c r="M55" s="271">
        <v>0.16189999999999999</v>
      </c>
      <c r="N55" s="265"/>
      <c r="O55" s="265"/>
    </row>
    <row r="56" spans="1:15">
      <c r="A56" s="266" t="s">
        <v>1568</v>
      </c>
      <c r="B56" s="266" t="s">
        <v>1464</v>
      </c>
      <c r="C56" s="267">
        <v>45260</v>
      </c>
      <c r="D56" s="267">
        <v>45264</v>
      </c>
      <c r="E56" s="267">
        <v>45264</v>
      </c>
      <c r="F56" s="267">
        <v>47091</v>
      </c>
      <c r="G56" s="268">
        <v>40000</v>
      </c>
      <c r="H56" s="268">
        <v>59252</v>
      </c>
      <c r="I56" s="269" t="s">
        <v>1569</v>
      </c>
      <c r="J56" s="268">
        <v>40002</v>
      </c>
      <c r="K56" s="268">
        <v>2445</v>
      </c>
      <c r="L56" s="268">
        <v>42447</v>
      </c>
      <c r="M56" s="271">
        <v>0.1575</v>
      </c>
      <c r="N56" s="265"/>
      <c r="O56" s="265"/>
    </row>
    <row r="57" spans="1:15" ht="16.899999999999999">
      <c r="A57" s="266" t="s">
        <v>1570</v>
      </c>
      <c r="B57" s="266" t="s">
        <v>1516</v>
      </c>
      <c r="C57" s="267">
        <v>45281</v>
      </c>
      <c r="D57" s="267">
        <v>45286</v>
      </c>
      <c r="E57" s="267">
        <v>45264</v>
      </c>
      <c r="F57" s="267">
        <v>46360</v>
      </c>
      <c r="G57" s="268">
        <v>20000</v>
      </c>
      <c r="H57" s="268">
        <v>31350.5</v>
      </c>
      <c r="I57" s="269" t="s">
        <v>1571</v>
      </c>
      <c r="J57" s="272">
        <v>90.5</v>
      </c>
      <c r="K57" s="272">
        <v>258.5</v>
      </c>
      <c r="L57" s="272">
        <v>349</v>
      </c>
      <c r="M57" s="271">
        <v>0.16189999999999999</v>
      </c>
      <c r="N57" s="273">
        <v>100.2842</v>
      </c>
      <c r="O57" s="271">
        <v>0.16050500000000001</v>
      </c>
    </row>
    <row r="58" spans="1:15" ht="16.899999999999999">
      <c r="A58" s="266" t="s">
        <v>1572</v>
      </c>
      <c r="B58" s="266" t="s">
        <v>1464</v>
      </c>
      <c r="C58" s="267">
        <v>45281</v>
      </c>
      <c r="D58" s="267">
        <v>45286</v>
      </c>
      <c r="E58" s="267">
        <v>45264</v>
      </c>
      <c r="F58" s="267">
        <v>47091</v>
      </c>
      <c r="G58" s="268">
        <v>30000</v>
      </c>
      <c r="H58" s="268">
        <v>40010</v>
      </c>
      <c r="I58" s="266" t="s">
        <v>1573</v>
      </c>
      <c r="J58" s="268">
        <v>10000</v>
      </c>
      <c r="K58" s="272">
        <v>396.5</v>
      </c>
      <c r="L58" s="268">
        <v>10396.5</v>
      </c>
      <c r="M58" s="271">
        <v>0.1575</v>
      </c>
      <c r="N58" s="273">
        <v>100.0022</v>
      </c>
      <c r="O58" s="271">
        <v>0.15740000000000001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59F9-01F2-472B-9220-23A23C95A857}">
  <dimension ref="A1:O1239"/>
  <sheetViews>
    <sheetView showGridLines="0" workbookViewId="0">
      <selection activeCell="C8" sqref="C8"/>
    </sheetView>
  </sheetViews>
  <sheetFormatPr defaultRowHeight="14.45"/>
  <cols>
    <col min="1" max="1" width="13.7109375" style="101" customWidth="1"/>
    <col min="6" max="6" width="10.140625" bestFit="1" customWidth="1"/>
    <col min="7" max="7" width="10.140625" style="113" bestFit="1" customWidth="1"/>
    <col min="9" max="9" width="10.28515625" style="101" bestFit="1" customWidth="1"/>
    <col min="14" max="14" width="10" style="6" bestFit="1" customWidth="1"/>
    <col min="15" max="15" width="8.85546875" style="113"/>
  </cols>
  <sheetData>
    <row r="1" spans="1:15">
      <c r="A1" s="124" t="s">
        <v>420</v>
      </c>
      <c r="B1" s="125"/>
      <c r="C1" s="125"/>
      <c r="D1" s="125"/>
      <c r="E1" s="125"/>
      <c r="F1" s="125"/>
      <c r="G1" s="126"/>
      <c r="I1" s="124" t="s">
        <v>1574</v>
      </c>
      <c r="J1" s="125"/>
      <c r="K1" s="125"/>
      <c r="L1" s="125"/>
      <c r="M1" s="125"/>
      <c r="N1" s="127"/>
      <c r="O1" s="126"/>
    </row>
    <row r="2" spans="1:15" ht="28.9">
      <c r="A2" s="120" t="s">
        <v>399</v>
      </c>
      <c r="B2" s="102" t="s">
        <v>1575</v>
      </c>
      <c r="C2" s="102" t="s">
        <v>1576</v>
      </c>
      <c r="D2" s="102" t="s">
        <v>1577</v>
      </c>
      <c r="E2" s="102" t="s">
        <v>1578</v>
      </c>
      <c r="F2" s="102" t="s">
        <v>1579</v>
      </c>
      <c r="G2" s="111" t="s">
        <v>1580</v>
      </c>
      <c r="I2" s="120" t="s">
        <v>399</v>
      </c>
      <c r="J2" s="102" t="s">
        <v>1575</v>
      </c>
      <c r="K2" s="102" t="s">
        <v>1576</v>
      </c>
      <c r="L2" s="102" t="s">
        <v>1577</v>
      </c>
      <c r="M2" s="102" t="s">
        <v>1578</v>
      </c>
      <c r="N2" s="122" t="s">
        <v>1579</v>
      </c>
      <c r="O2" s="111" t="s">
        <v>1580</v>
      </c>
    </row>
    <row r="3" spans="1:15">
      <c r="A3" s="121">
        <v>45912</v>
      </c>
      <c r="B3" s="103">
        <v>260</v>
      </c>
      <c r="C3" s="103">
        <v>264.5</v>
      </c>
      <c r="D3" s="103">
        <v>256</v>
      </c>
      <c r="E3" s="103">
        <v>261.54000000000002</v>
      </c>
      <c r="F3" s="104">
        <v>2807728</v>
      </c>
      <c r="G3" s="112">
        <f>E3/E4-1</f>
        <v>1.3053414416857034E-2</v>
      </c>
      <c r="I3" s="105">
        <v>45912</v>
      </c>
      <c r="J3" s="85">
        <v>156201.69</v>
      </c>
      <c r="K3" s="85">
        <v>156519.13</v>
      </c>
      <c r="L3" s="85">
        <v>154360.35</v>
      </c>
      <c r="M3" s="85">
        <v>154439.67999999999</v>
      </c>
      <c r="N3" s="123">
        <v>241099022</v>
      </c>
      <c r="O3" s="112">
        <f>M3/M4-1</f>
        <v>-1.0897569405750818E-2</v>
      </c>
    </row>
    <row r="4" spans="1:15">
      <c r="A4" s="121">
        <v>45911</v>
      </c>
      <c r="B4" s="103">
        <v>257.5</v>
      </c>
      <c r="C4" s="103">
        <v>261.39999999999998</v>
      </c>
      <c r="D4" s="103">
        <v>257</v>
      </c>
      <c r="E4" s="103">
        <v>258.17</v>
      </c>
      <c r="F4" s="104">
        <v>922582</v>
      </c>
      <c r="G4" s="112">
        <f t="shared" ref="G4:G67" si="0">E4/E5-1</f>
        <v>-1.3488727550630353E-2</v>
      </c>
      <c r="I4" s="105">
        <v>45911</v>
      </c>
      <c r="J4" s="85">
        <v>157284.65</v>
      </c>
      <c r="K4" s="85">
        <v>157816.76</v>
      </c>
      <c r="L4" s="85">
        <v>156103.81</v>
      </c>
      <c r="M4" s="85">
        <v>156141.24</v>
      </c>
      <c r="N4" s="123">
        <v>402820222</v>
      </c>
      <c r="O4" s="112">
        <f t="shared" ref="O4:O67" si="1">M4/M5-1</f>
        <v>-5.6014875482413018E-3</v>
      </c>
    </row>
    <row r="5" spans="1:15">
      <c r="A5" s="121">
        <v>45910</v>
      </c>
      <c r="B5" s="103">
        <v>264</v>
      </c>
      <c r="C5" s="103">
        <v>264.89999999999998</v>
      </c>
      <c r="D5" s="103">
        <v>260.18</v>
      </c>
      <c r="E5" s="103">
        <v>261.7</v>
      </c>
      <c r="F5" s="104">
        <v>797345</v>
      </c>
      <c r="G5" s="112">
        <f t="shared" si="0"/>
        <v>-3.3818208668685013E-2</v>
      </c>
      <c r="I5" s="105">
        <v>45910</v>
      </c>
      <c r="J5" s="85">
        <v>156571.73000000001</v>
      </c>
      <c r="K5" s="85">
        <v>157479.42000000001</v>
      </c>
      <c r="L5" s="85">
        <v>156079.51999999999</v>
      </c>
      <c r="M5" s="85">
        <v>157020.79</v>
      </c>
      <c r="N5" s="123">
        <v>437129643</v>
      </c>
      <c r="O5" s="112">
        <f t="shared" si="1"/>
        <v>2.9206675986845898E-3</v>
      </c>
    </row>
    <row r="6" spans="1:15">
      <c r="A6" s="121">
        <v>45909</v>
      </c>
      <c r="B6" s="103">
        <v>274.10000000000002</v>
      </c>
      <c r="C6" s="103">
        <v>274.10000000000002</v>
      </c>
      <c r="D6" s="103">
        <v>262.39999999999998</v>
      </c>
      <c r="E6" s="103">
        <v>270.86</v>
      </c>
      <c r="F6" s="104">
        <v>4744653</v>
      </c>
      <c r="G6" s="112">
        <f t="shared" si="0"/>
        <v>1.9612271786185076E-2</v>
      </c>
      <c r="I6" s="105">
        <v>45909</v>
      </c>
      <c r="J6" s="85">
        <v>156640.09</v>
      </c>
      <c r="K6" s="85">
        <v>157563.51999999999</v>
      </c>
      <c r="L6" s="85">
        <v>155044.25</v>
      </c>
      <c r="M6" s="85">
        <v>156563.51999999999</v>
      </c>
      <c r="N6" s="123">
        <v>480306328</v>
      </c>
      <c r="O6" s="112">
        <f t="shared" si="1"/>
        <v>3.0509849295874414E-3</v>
      </c>
    </row>
    <row r="7" spans="1:15">
      <c r="A7" s="121">
        <v>45908</v>
      </c>
      <c r="B7" s="103">
        <v>261</v>
      </c>
      <c r="C7" s="103">
        <v>267.5</v>
      </c>
      <c r="D7" s="103">
        <v>261</v>
      </c>
      <c r="E7" s="103">
        <v>265.64999999999998</v>
      </c>
      <c r="F7" s="104">
        <v>3749318</v>
      </c>
      <c r="G7" s="112">
        <f t="shared" si="0"/>
        <v>0.11598890942698703</v>
      </c>
      <c r="I7" s="105">
        <v>45908</v>
      </c>
      <c r="J7" s="85">
        <v>155057.32999999999</v>
      </c>
      <c r="K7" s="85">
        <v>156199.28</v>
      </c>
      <c r="L7" s="85">
        <v>154944.87</v>
      </c>
      <c r="M7" s="85">
        <v>156087.29999999999</v>
      </c>
      <c r="N7" s="123">
        <v>492409990</v>
      </c>
      <c r="O7" s="112">
        <f t="shared" si="1"/>
        <v>1.1732842684002653E-2</v>
      </c>
    </row>
    <row r="8" spans="1:15">
      <c r="A8" s="121">
        <v>45905</v>
      </c>
      <c r="B8" s="103">
        <v>233</v>
      </c>
      <c r="C8" s="103">
        <v>244.44</v>
      </c>
      <c r="D8" s="103">
        <v>233</v>
      </c>
      <c r="E8" s="103">
        <v>238.04</v>
      </c>
      <c r="F8" s="104">
        <v>9247674</v>
      </c>
      <c r="G8" s="112">
        <f t="shared" si="0"/>
        <v>6.6487455197132617E-2</v>
      </c>
      <c r="I8" s="105">
        <v>45905</v>
      </c>
      <c r="J8" s="85">
        <v>153149.44</v>
      </c>
      <c r="K8" s="85">
        <v>154511.31</v>
      </c>
      <c r="L8" s="85">
        <v>153129.78</v>
      </c>
      <c r="M8" s="85">
        <v>154277.19</v>
      </c>
      <c r="N8" s="123">
        <v>471374828</v>
      </c>
      <c r="O8" s="112">
        <f t="shared" si="1"/>
        <v>1.0555545802947819E-2</v>
      </c>
    </row>
    <row r="9" spans="1:15">
      <c r="A9" s="121">
        <v>45904</v>
      </c>
      <c r="B9" s="103">
        <v>226</v>
      </c>
      <c r="C9" s="103">
        <v>227</v>
      </c>
      <c r="D9" s="103">
        <v>219.52</v>
      </c>
      <c r="E9" s="103">
        <v>223.2</v>
      </c>
      <c r="F9" s="104">
        <v>2250610</v>
      </c>
      <c r="G9" s="112">
        <f t="shared" si="0"/>
        <v>-1.7432646592710044E-2</v>
      </c>
      <c r="I9" s="105">
        <v>45904</v>
      </c>
      <c r="J9" s="85">
        <v>152599.44</v>
      </c>
      <c r="K9" s="85">
        <v>153411.04999999999</v>
      </c>
      <c r="L9" s="85">
        <v>152264.95999999999</v>
      </c>
      <c r="M9" s="85">
        <v>152665.72</v>
      </c>
      <c r="N9" s="123">
        <v>407266609</v>
      </c>
      <c r="O9" s="112">
        <f t="shared" si="1"/>
        <v>3.0475972469983237E-3</v>
      </c>
    </row>
    <row r="10" spans="1:15">
      <c r="A10" s="121">
        <v>45903</v>
      </c>
      <c r="B10" s="103">
        <v>223.8</v>
      </c>
      <c r="C10" s="103">
        <v>234</v>
      </c>
      <c r="D10" s="103">
        <v>223.5</v>
      </c>
      <c r="E10" s="103">
        <v>227.16</v>
      </c>
      <c r="F10" s="104">
        <v>5321459</v>
      </c>
      <c r="G10" s="112">
        <f t="shared" si="0"/>
        <v>2.8850944336247242E-2</v>
      </c>
      <c r="I10" s="105">
        <v>45903</v>
      </c>
      <c r="J10" s="85">
        <v>151320.49</v>
      </c>
      <c r="K10" s="85">
        <v>152805.29999999999</v>
      </c>
      <c r="L10" s="85">
        <v>151320.49</v>
      </c>
      <c r="M10" s="85">
        <v>152201.87</v>
      </c>
      <c r="N10" s="123">
        <v>337866019</v>
      </c>
      <c r="O10" s="112">
        <f t="shared" si="1"/>
        <v>8.1231071429610502E-3</v>
      </c>
    </row>
    <row r="11" spans="1:15">
      <c r="A11" s="121">
        <v>45902</v>
      </c>
      <c r="B11" s="103">
        <v>202.5</v>
      </c>
      <c r="C11" s="103">
        <v>221.95</v>
      </c>
      <c r="D11" s="103">
        <v>201.8</v>
      </c>
      <c r="E11" s="103">
        <v>220.79</v>
      </c>
      <c r="F11" s="104">
        <v>8673875</v>
      </c>
      <c r="G11" s="112">
        <f t="shared" si="0"/>
        <v>8.2728520988623044E-2</v>
      </c>
      <c r="I11" s="105">
        <v>45902</v>
      </c>
      <c r="J11" s="85">
        <v>150318.60999999999</v>
      </c>
      <c r="K11" s="85">
        <v>151075.67000000001</v>
      </c>
      <c r="L11" s="85">
        <v>150081.4</v>
      </c>
      <c r="M11" s="85">
        <v>150975.48000000001</v>
      </c>
      <c r="N11" s="123">
        <v>441999922</v>
      </c>
      <c r="O11" s="112">
        <f t="shared" si="1"/>
        <v>6.6970227334437471E-3</v>
      </c>
    </row>
    <row r="12" spans="1:15">
      <c r="A12" s="121">
        <v>45901</v>
      </c>
      <c r="B12" s="103">
        <v>199</v>
      </c>
      <c r="C12" s="103">
        <v>208.75</v>
      </c>
      <c r="D12" s="103">
        <v>197.6</v>
      </c>
      <c r="E12" s="103">
        <v>203.92</v>
      </c>
      <c r="F12" s="104">
        <v>6311350</v>
      </c>
      <c r="G12" s="112">
        <f t="shared" si="0"/>
        <v>0.13800993359004399</v>
      </c>
      <c r="I12" s="105">
        <v>45901</v>
      </c>
      <c r="J12" s="85">
        <v>149079.23000000001</v>
      </c>
      <c r="K12" s="85">
        <v>150066</v>
      </c>
      <c r="L12" s="85">
        <v>148500.20000000001</v>
      </c>
      <c r="M12" s="85">
        <v>149971.12</v>
      </c>
      <c r="N12" s="123">
        <v>511821531</v>
      </c>
      <c r="O12" s="112">
        <f t="shared" si="1"/>
        <v>9.1062461776947323E-3</v>
      </c>
    </row>
    <row r="13" spans="1:15">
      <c r="A13" s="121">
        <v>45898</v>
      </c>
      <c r="B13" s="103">
        <v>174</v>
      </c>
      <c r="C13" s="103">
        <v>179.99</v>
      </c>
      <c r="D13" s="103">
        <v>173.5</v>
      </c>
      <c r="E13" s="103">
        <v>179.19</v>
      </c>
      <c r="F13" s="104">
        <v>3441747</v>
      </c>
      <c r="G13" s="112">
        <f t="shared" si="0"/>
        <v>0.10891763104152474</v>
      </c>
      <c r="I13" s="105">
        <v>45898</v>
      </c>
      <c r="J13" s="85">
        <v>147591.81</v>
      </c>
      <c r="K13" s="85">
        <v>149234.94</v>
      </c>
      <c r="L13" s="85">
        <v>147488.46</v>
      </c>
      <c r="M13" s="85">
        <v>148617.76999999999</v>
      </c>
      <c r="N13" s="123">
        <v>624598293</v>
      </c>
      <c r="O13" s="112">
        <f t="shared" si="1"/>
        <v>8.6482946312527176E-3</v>
      </c>
    </row>
    <row r="14" spans="1:15">
      <c r="A14" s="121">
        <v>45897</v>
      </c>
      <c r="B14" s="103">
        <v>165</v>
      </c>
      <c r="C14" s="103">
        <v>165.8</v>
      </c>
      <c r="D14" s="103">
        <v>160.05000000000001</v>
      </c>
      <c r="E14" s="103">
        <v>161.59</v>
      </c>
      <c r="F14" s="104">
        <v>816594</v>
      </c>
      <c r="G14" s="112">
        <f t="shared" si="0"/>
        <v>-1.1198139762574888E-2</v>
      </c>
      <c r="I14" s="105">
        <v>45897</v>
      </c>
      <c r="J14" s="85">
        <v>147554.39000000001</v>
      </c>
      <c r="K14" s="85">
        <v>148042</v>
      </c>
      <c r="L14" s="85">
        <v>147209.54999999999</v>
      </c>
      <c r="M14" s="85">
        <v>147343.5</v>
      </c>
      <c r="N14" s="123">
        <v>306526022</v>
      </c>
      <c r="O14" s="112">
        <f t="shared" si="1"/>
        <v>-1.0205836805733393E-3</v>
      </c>
    </row>
    <row r="15" spans="1:15">
      <c r="A15" s="121">
        <v>45896</v>
      </c>
      <c r="B15" s="103">
        <v>161.22</v>
      </c>
      <c r="C15" s="103">
        <v>163.95</v>
      </c>
      <c r="D15" s="103">
        <v>161.22</v>
      </c>
      <c r="E15" s="103">
        <v>163.41999999999999</v>
      </c>
      <c r="F15" s="104">
        <v>949307</v>
      </c>
      <c r="G15" s="112">
        <f t="shared" si="0"/>
        <v>2.9458696452682176E-3</v>
      </c>
      <c r="I15" s="105">
        <v>45896</v>
      </c>
      <c r="J15" s="85">
        <v>148841.67000000001</v>
      </c>
      <c r="K15" s="85">
        <v>149237.91</v>
      </c>
      <c r="L15" s="85">
        <v>147337.01999999999</v>
      </c>
      <c r="M15" s="85">
        <v>147494.03</v>
      </c>
      <c r="N15" s="123">
        <v>186411160</v>
      </c>
      <c r="O15" s="112">
        <f t="shared" si="1"/>
        <v>-6.3396747372217455E-3</v>
      </c>
    </row>
    <row r="16" spans="1:15">
      <c r="A16" s="121">
        <v>45895</v>
      </c>
      <c r="B16" s="103">
        <v>163.4</v>
      </c>
      <c r="C16" s="103">
        <v>164.3</v>
      </c>
      <c r="D16" s="103">
        <v>161.32</v>
      </c>
      <c r="E16" s="103">
        <v>162.94</v>
      </c>
      <c r="F16" s="104">
        <v>774292</v>
      </c>
      <c r="G16" s="112">
        <f t="shared" si="0"/>
        <v>6.3299399634560105E-2</v>
      </c>
      <c r="I16" s="105">
        <v>45895</v>
      </c>
      <c r="J16" s="85">
        <v>149096.34</v>
      </c>
      <c r="K16" s="85">
        <v>149453.19</v>
      </c>
      <c r="L16" s="85">
        <v>148312.57</v>
      </c>
      <c r="M16" s="85">
        <v>148435.06</v>
      </c>
      <c r="N16" s="123">
        <v>161925715</v>
      </c>
      <c r="O16" s="112">
        <f t="shared" si="1"/>
        <v>-2.5551136207095926E-3</v>
      </c>
    </row>
    <row r="17" spans="1:15">
      <c r="A17" s="121">
        <v>45894</v>
      </c>
      <c r="B17" s="103">
        <v>153.88999999999999</v>
      </c>
      <c r="C17" s="103">
        <v>156.5</v>
      </c>
      <c r="D17" s="103">
        <v>153</v>
      </c>
      <c r="E17" s="103">
        <v>153.24</v>
      </c>
      <c r="F17" s="104">
        <v>672839</v>
      </c>
      <c r="G17" s="112">
        <f t="shared" si="0"/>
        <v>2.0925974365681999E-3</v>
      </c>
      <c r="I17" s="105">
        <v>45894</v>
      </c>
      <c r="J17" s="85">
        <v>149828.16</v>
      </c>
      <c r="K17" s="85">
        <v>150079.75</v>
      </c>
      <c r="L17" s="85">
        <v>148757.13</v>
      </c>
      <c r="M17" s="85">
        <v>148815.29999999999</v>
      </c>
      <c r="N17" s="123">
        <v>210516386</v>
      </c>
      <c r="O17" s="112">
        <f t="shared" si="1"/>
        <v>-1.0965129006267893E-2</v>
      </c>
    </row>
    <row r="18" spans="1:15">
      <c r="A18" s="121">
        <v>45891</v>
      </c>
      <c r="B18" s="103">
        <v>155.5</v>
      </c>
      <c r="C18" s="103">
        <v>156.59</v>
      </c>
      <c r="D18" s="103">
        <v>152.80000000000001</v>
      </c>
      <c r="E18" s="103">
        <v>152.91999999999999</v>
      </c>
      <c r="F18" s="104">
        <v>777098</v>
      </c>
      <c r="G18" s="112">
        <f t="shared" si="0"/>
        <v>-3.5265913822471795E-2</v>
      </c>
      <c r="I18" s="105">
        <v>45891</v>
      </c>
      <c r="J18" s="85">
        <v>149659.84</v>
      </c>
      <c r="K18" s="85">
        <v>150465.17000000001</v>
      </c>
      <c r="L18" s="85">
        <v>149448.93</v>
      </c>
      <c r="M18" s="85">
        <v>150465.17000000001</v>
      </c>
      <c r="N18" s="123">
        <v>335531698</v>
      </c>
      <c r="O18" s="112">
        <f t="shared" si="1"/>
        <v>8.2414169412778904E-3</v>
      </c>
    </row>
    <row r="19" spans="1:15">
      <c r="A19" s="121">
        <v>45890</v>
      </c>
      <c r="B19" s="103">
        <v>158.01</v>
      </c>
      <c r="C19" s="103">
        <v>158.99</v>
      </c>
      <c r="D19" s="103">
        <v>156.5</v>
      </c>
      <c r="E19" s="103">
        <v>158.51</v>
      </c>
      <c r="F19" s="104">
        <v>1438626</v>
      </c>
      <c r="G19" s="112">
        <f t="shared" si="0"/>
        <v>2.9352555360737664E-2</v>
      </c>
      <c r="I19" s="105">
        <v>45890</v>
      </c>
      <c r="J19" s="85">
        <v>150948.93</v>
      </c>
      <c r="K19" s="85">
        <v>151249.62</v>
      </c>
      <c r="L19" s="85">
        <v>148272.57</v>
      </c>
      <c r="M19" s="85">
        <v>149235.26</v>
      </c>
      <c r="N19" s="123">
        <v>426272064</v>
      </c>
      <c r="O19" s="112">
        <f t="shared" si="1"/>
        <v>-9.0027956517985119E-3</v>
      </c>
    </row>
    <row r="20" spans="1:15">
      <c r="A20" s="121">
        <v>45889</v>
      </c>
      <c r="B20" s="103">
        <v>153.99</v>
      </c>
      <c r="C20" s="103">
        <v>153.99</v>
      </c>
      <c r="D20" s="103">
        <v>149</v>
      </c>
      <c r="E20" s="103">
        <v>153.99</v>
      </c>
      <c r="F20" s="104">
        <v>3231472</v>
      </c>
      <c r="G20" s="112">
        <f t="shared" si="0"/>
        <v>4.4850047496268308E-2</v>
      </c>
      <c r="I20" s="105">
        <v>45889</v>
      </c>
      <c r="J20" s="85">
        <v>150106.16</v>
      </c>
      <c r="K20" s="85">
        <v>151261.67000000001</v>
      </c>
      <c r="L20" s="85">
        <v>149931.67000000001</v>
      </c>
      <c r="M20" s="85">
        <v>150591</v>
      </c>
      <c r="N20" s="123">
        <v>275222539</v>
      </c>
      <c r="O20" s="112">
        <f t="shared" si="1"/>
        <v>5.4767706963323448E-3</v>
      </c>
    </row>
    <row r="21" spans="1:15">
      <c r="A21" s="121">
        <v>45888</v>
      </c>
      <c r="B21" s="103">
        <v>150</v>
      </c>
      <c r="C21" s="103">
        <v>150</v>
      </c>
      <c r="D21" s="103">
        <v>147.1</v>
      </c>
      <c r="E21" s="103">
        <v>147.38</v>
      </c>
      <c r="F21" s="104">
        <v>1110494</v>
      </c>
      <c r="G21" s="112">
        <f t="shared" si="0"/>
        <v>-2.1381142098273576E-2</v>
      </c>
      <c r="I21" s="105">
        <v>45888</v>
      </c>
      <c r="J21" s="85">
        <v>148464.53</v>
      </c>
      <c r="K21" s="85">
        <v>150323.38</v>
      </c>
      <c r="L21" s="85">
        <v>148293.94</v>
      </c>
      <c r="M21" s="85">
        <v>149770.74</v>
      </c>
      <c r="N21" s="123">
        <v>340193363</v>
      </c>
      <c r="O21" s="112">
        <f t="shared" si="1"/>
        <v>1.0623198590087313E-2</v>
      </c>
    </row>
    <row r="22" spans="1:15">
      <c r="A22" s="121">
        <v>45887</v>
      </c>
      <c r="B22" s="103">
        <v>151.63999999999999</v>
      </c>
      <c r="C22" s="103">
        <v>154.99</v>
      </c>
      <c r="D22" s="103">
        <v>149.5</v>
      </c>
      <c r="E22" s="103">
        <v>150.6</v>
      </c>
      <c r="F22" s="104">
        <v>5938523</v>
      </c>
      <c r="G22" s="112">
        <f t="shared" si="0"/>
        <v>4.5035042675733772E-2</v>
      </c>
      <c r="I22" s="105">
        <v>45887</v>
      </c>
      <c r="J22" s="85">
        <v>999999.99</v>
      </c>
      <c r="K22" s="85">
        <v>148395.71</v>
      </c>
      <c r="L22" s="85">
        <v>146403.64000000001</v>
      </c>
      <c r="M22" s="85">
        <v>148196.42000000001</v>
      </c>
      <c r="N22" s="123">
        <v>229068568</v>
      </c>
      <c r="O22" s="112">
        <f t="shared" si="1"/>
        <v>1.1637456692918269E-2</v>
      </c>
    </row>
    <row r="23" spans="1:15">
      <c r="A23" s="121">
        <v>45884</v>
      </c>
      <c r="B23" s="103">
        <v>146.9</v>
      </c>
      <c r="C23" s="103">
        <v>147.63</v>
      </c>
      <c r="D23" s="103">
        <v>143.88999999999999</v>
      </c>
      <c r="E23" s="103">
        <v>144.11000000000001</v>
      </c>
      <c r="F23" s="104">
        <v>3660704</v>
      </c>
      <c r="G23" s="112">
        <f t="shared" si="0"/>
        <v>-5.3775443204202245E-2</v>
      </c>
      <c r="I23" s="105">
        <v>45884</v>
      </c>
      <c r="J23" s="85">
        <v>146713.82999999999</v>
      </c>
      <c r="K23" s="85">
        <v>147534.41</v>
      </c>
      <c r="L23" s="85">
        <v>146269.59</v>
      </c>
      <c r="M23" s="85">
        <v>146491.63</v>
      </c>
      <c r="N23" s="123">
        <v>187001270</v>
      </c>
      <c r="O23" s="112">
        <f t="shared" si="1"/>
        <v>-2.5708168946403376E-4</v>
      </c>
    </row>
    <row r="24" spans="1:15">
      <c r="A24" s="121">
        <v>45882</v>
      </c>
      <c r="B24" s="103">
        <v>150</v>
      </c>
      <c r="C24" s="103">
        <v>154</v>
      </c>
      <c r="D24" s="103">
        <v>150</v>
      </c>
      <c r="E24" s="103">
        <v>152.30000000000001</v>
      </c>
      <c r="F24" s="104">
        <v>1745894</v>
      </c>
      <c r="G24" s="112">
        <f t="shared" si="0"/>
        <v>1.9077692257090106E-3</v>
      </c>
      <c r="I24" s="105">
        <v>45882</v>
      </c>
      <c r="J24" s="85">
        <v>147334.29</v>
      </c>
      <c r="K24" s="85">
        <v>147892.25</v>
      </c>
      <c r="L24" s="85">
        <v>146417.79999999999</v>
      </c>
      <c r="M24" s="85">
        <v>146529.29999999999</v>
      </c>
      <c r="N24" s="123">
        <v>298882392</v>
      </c>
      <c r="O24" s="112">
        <f t="shared" si="1"/>
        <v>-3.2381141036257333E-3</v>
      </c>
    </row>
    <row r="25" spans="1:15">
      <c r="A25" s="121">
        <v>45881</v>
      </c>
      <c r="B25" s="103">
        <v>155.51</v>
      </c>
      <c r="C25" s="103">
        <v>158</v>
      </c>
      <c r="D25" s="103">
        <v>143.11000000000001</v>
      </c>
      <c r="E25" s="103">
        <v>152.01</v>
      </c>
      <c r="F25" s="104">
        <v>1971965</v>
      </c>
      <c r="G25" s="112">
        <f t="shared" si="0"/>
        <v>3.6313218011354564E-3</v>
      </c>
      <c r="I25" s="105">
        <v>45881</v>
      </c>
      <c r="J25" s="85">
        <v>147467.44</v>
      </c>
      <c r="K25" s="85">
        <v>147976.98000000001</v>
      </c>
      <c r="L25" s="85">
        <v>146894.62</v>
      </c>
      <c r="M25" s="85">
        <v>147005.32</v>
      </c>
      <c r="N25" s="123">
        <v>331786187</v>
      </c>
      <c r="O25" s="112">
        <f t="shared" si="1"/>
        <v>5.1371457288729161E-4</v>
      </c>
    </row>
    <row r="26" spans="1:15">
      <c r="A26" s="121">
        <v>45880</v>
      </c>
      <c r="B26" s="103">
        <v>154.4</v>
      </c>
      <c r="C26" s="103">
        <v>154.4</v>
      </c>
      <c r="D26" s="103">
        <v>151</v>
      </c>
      <c r="E26" s="103">
        <v>151.46</v>
      </c>
      <c r="F26" s="104">
        <v>191587</v>
      </c>
      <c r="G26" s="112">
        <f t="shared" si="0"/>
        <v>-6.7545412813955208E-3</v>
      </c>
      <c r="I26" s="105">
        <v>45880</v>
      </c>
      <c r="J26" s="85">
        <v>145650.32999999999</v>
      </c>
      <c r="K26" s="85">
        <v>147005.17000000001</v>
      </c>
      <c r="L26" s="85">
        <v>145258.49</v>
      </c>
      <c r="M26" s="85">
        <v>146929.84</v>
      </c>
      <c r="N26" s="123">
        <v>299280724</v>
      </c>
      <c r="O26" s="112">
        <f t="shared" si="1"/>
        <v>1.0641218262491758E-2</v>
      </c>
    </row>
    <row r="27" spans="1:15">
      <c r="A27" s="121">
        <v>45877</v>
      </c>
      <c r="B27" s="103">
        <v>153</v>
      </c>
      <c r="C27" s="103">
        <v>153.9</v>
      </c>
      <c r="D27" s="103">
        <v>152.1</v>
      </c>
      <c r="E27" s="103">
        <v>152.49</v>
      </c>
      <c r="F27" s="104">
        <v>1343015</v>
      </c>
      <c r="G27" s="112">
        <f t="shared" si="0"/>
        <v>-3.1317494600431872E-2</v>
      </c>
      <c r="I27" s="105">
        <v>45877</v>
      </c>
      <c r="J27" s="85">
        <v>145999.39000000001</v>
      </c>
      <c r="K27" s="85">
        <v>146813.43</v>
      </c>
      <c r="L27" s="85">
        <v>144917.18</v>
      </c>
      <c r="M27" s="85">
        <v>145382.79</v>
      </c>
      <c r="N27" s="123">
        <v>276740075</v>
      </c>
      <c r="O27" s="112">
        <f t="shared" si="1"/>
        <v>-1.8149344927016475E-3</v>
      </c>
    </row>
    <row r="28" spans="1:15">
      <c r="A28" s="121">
        <v>45876</v>
      </c>
      <c r="B28" s="103">
        <v>154.97999999999999</v>
      </c>
      <c r="C28" s="103">
        <v>158.5</v>
      </c>
      <c r="D28" s="103">
        <v>153.74</v>
      </c>
      <c r="E28" s="103">
        <v>157.41999999999999</v>
      </c>
      <c r="F28" s="104">
        <v>1360061</v>
      </c>
      <c r="G28" s="112">
        <f t="shared" si="0"/>
        <v>4.0243177162492483E-2</v>
      </c>
      <c r="I28" s="105">
        <v>45876</v>
      </c>
      <c r="J28" s="85">
        <v>145793.06</v>
      </c>
      <c r="K28" s="85">
        <v>146081.01999999999</v>
      </c>
      <c r="L28" s="85">
        <v>145250.17000000001</v>
      </c>
      <c r="M28" s="85">
        <v>145647.13</v>
      </c>
      <c r="N28" s="123">
        <v>326588620</v>
      </c>
      <c r="O28" s="112">
        <f t="shared" si="1"/>
        <v>3.8503398856795101E-3</v>
      </c>
    </row>
    <row r="29" spans="1:15">
      <c r="A29" s="121">
        <v>45875</v>
      </c>
      <c r="B29" s="103">
        <v>152</v>
      </c>
      <c r="C29" s="103">
        <v>152.9</v>
      </c>
      <c r="D29" s="103">
        <v>150</v>
      </c>
      <c r="E29" s="103">
        <v>151.33000000000001</v>
      </c>
      <c r="F29" s="104">
        <v>175840</v>
      </c>
      <c r="G29" s="112">
        <f t="shared" si="0"/>
        <v>-1.9756445135380107E-2</v>
      </c>
      <c r="I29" s="105">
        <v>45875</v>
      </c>
      <c r="J29" s="85">
        <v>143409.59</v>
      </c>
      <c r="K29" s="85">
        <v>145187.17000000001</v>
      </c>
      <c r="L29" s="85">
        <v>143409.59</v>
      </c>
      <c r="M29" s="85">
        <v>145088.49</v>
      </c>
      <c r="N29" s="123">
        <v>383514758</v>
      </c>
      <c r="O29" s="112">
        <f t="shared" si="1"/>
        <v>1.4341238318769767E-2</v>
      </c>
    </row>
    <row r="30" spans="1:15">
      <c r="A30" s="121">
        <v>45874</v>
      </c>
      <c r="B30" s="103">
        <v>158.5</v>
      </c>
      <c r="C30" s="103">
        <v>158.5</v>
      </c>
      <c r="D30" s="103">
        <v>149.6</v>
      </c>
      <c r="E30" s="103">
        <v>154.38</v>
      </c>
      <c r="F30" s="104">
        <v>7249879</v>
      </c>
      <c r="G30" s="112">
        <f t="shared" si="0"/>
        <v>-5.1778146305509476E-2</v>
      </c>
      <c r="I30" s="105">
        <v>45874</v>
      </c>
      <c r="J30" s="85">
        <v>142235.71</v>
      </c>
      <c r="K30" s="85">
        <v>143281.34</v>
      </c>
      <c r="L30" s="85">
        <v>142235.71</v>
      </c>
      <c r="M30" s="85">
        <v>143037.16</v>
      </c>
      <c r="N30" s="123">
        <v>262315814</v>
      </c>
      <c r="O30" s="112">
        <f t="shared" si="1"/>
        <v>6.930670207889067E-3</v>
      </c>
    </row>
    <row r="31" spans="1:15">
      <c r="A31" s="121">
        <v>45873</v>
      </c>
      <c r="B31" s="103">
        <v>162.52000000000001</v>
      </c>
      <c r="C31" s="103">
        <v>163.98</v>
      </c>
      <c r="D31" s="103">
        <v>160.52000000000001</v>
      </c>
      <c r="E31" s="103">
        <v>162.81</v>
      </c>
      <c r="F31" s="104">
        <v>246520</v>
      </c>
      <c r="G31" s="112">
        <f t="shared" si="0"/>
        <v>-1.9925355164940983E-2</v>
      </c>
      <c r="I31" s="105">
        <v>45873</v>
      </c>
      <c r="J31" s="85">
        <v>141962.94</v>
      </c>
      <c r="K31" s="85">
        <v>142323.34</v>
      </c>
      <c r="L31" s="85">
        <v>141440.48000000001</v>
      </c>
      <c r="M31" s="85">
        <v>142052.64000000001</v>
      </c>
      <c r="N31" s="123">
        <v>349227740</v>
      </c>
      <c r="O31" s="112">
        <f t="shared" si="1"/>
        <v>7.2156567115477799E-3</v>
      </c>
    </row>
    <row r="32" spans="1:15">
      <c r="A32" s="121">
        <v>45870</v>
      </c>
      <c r="B32" s="103">
        <v>164.05</v>
      </c>
      <c r="C32" s="103">
        <v>168</v>
      </c>
      <c r="D32" s="103">
        <v>160.1</v>
      </c>
      <c r="E32" s="103">
        <v>166.12</v>
      </c>
      <c r="F32" s="104">
        <v>516169</v>
      </c>
      <c r="G32" s="112">
        <f t="shared" si="0"/>
        <v>-3.6147374528575527E-2</v>
      </c>
      <c r="I32" s="105">
        <v>45870</v>
      </c>
      <c r="J32" s="85">
        <v>139634.9</v>
      </c>
      <c r="K32" s="85">
        <v>141160.93</v>
      </c>
      <c r="L32" s="85">
        <v>138957.70000000001</v>
      </c>
      <c r="M32" s="85">
        <v>141034.98000000001</v>
      </c>
      <c r="N32" s="123">
        <v>304552587</v>
      </c>
      <c r="O32" s="112">
        <f t="shared" si="1"/>
        <v>1.179822831439914E-2</v>
      </c>
    </row>
    <row r="33" spans="1:15">
      <c r="A33" s="121">
        <v>45869</v>
      </c>
      <c r="B33" s="103">
        <v>176</v>
      </c>
      <c r="C33" s="103">
        <v>177</v>
      </c>
      <c r="D33" s="103">
        <v>172</v>
      </c>
      <c r="E33" s="103">
        <v>172.35</v>
      </c>
      <c r="F33" s="104">
        <v>1015872</v>
      </c>
      <c r="G33" s="112">
        <f t="shared" si="0"/>
        <v>-1.1187607573149849E-2</v>
      </c>
      <c r="I33" s="105">
        <v>45869</v>
      </c>
      <c r="J33" s="85">
        <v>139379.14000000001</v>
      </c>
      <c r="K33" s="85">
        <v>140215.22</v>
      </c>
      <c r="L33" s="85">
        <v>139083.74</v>
      </c>
      <c r="M33" s="85">
        <v>139390.42000000001</v>
      </c>
      <c r="N33" s="123">
        <v>291205593</v>
      </c>
      <c r="O33" s="112">
        <f t="shared" si="1"/>
        <v>7.0670767941423129E-3</v>
      </c>
    </row>
    <row r="34" spans="1:15">
      <c r="A34" s="121">
        <v>45868</v>
      </c>
      <c r="B34" s="103">
        <v>174.52</v>
      </c>
      <c r="C34" s="103">
        <v>176.1</v>
      </c>
      <c r="D34" s="103">
        <v>173.6</v>
      </c>
      <c r="E34" s="103">
        <v>174.3</v>
      </c>
      <c r="F34" s="104">
        <v>2683010</v>
      </c>
      <c r="G34" s="112">
        <f t="shared" si="0"/>
        <v>6.0606060606060996E-3</v>
      </c>
      <c r="I34" s="105">
        <v>45868</v>
      </c>
      <c r="J34" s="85">
        <v>138141.59</v>
      </c>
      <c r="K34" s="85">
        <v>139018.88</v>
      </c>
      <c r="L34" s="85">
        <v>137658.81</v>
      </c>
      <c r="M34" s="85">
        <v>138412.25</v>
      </c>
      <c r="N34" s="123">
        <v>167694720</v>
      </c>
      <c r="O34" s="112">
        <f t="shared" si="1"/>
        <v>3.2431458427695237E-3</v>
      </c>
    </row>
    <row r="35" spans="1:15">
      <c r="A35" s="121">
        <v>45867</v>
      </c>
      <c r="B35" s="103">
        <v>172.9</v>
      </c>
      <c r="C35" s="103">
        <v>175.25</v>
      </c>
      <c r="D35" s="103">
        <v>172.1</v>
      </c>
      <c r="E35" s="103">
        <v>173.25</v>
      </c>
      <c r="F35" s="104">
        <v>1662367</v>
      </c>
      <c r="G35" s="112">
        <f t="shared" si="0"/>
        <v>8.0873433077233159E-4</v>
      </c>
      <c r="I35" s="105">
        <v>45867</v>
      </c>
      <c r="J35" s="85">
        <v>139733.06</v>
      </c>
      <c r="K35" s="85">
        <v>140331.01</v>
      </c>
      <c r="L35" s="85">
        <v>137636.37</v>
      </c>
      <c r="M35" s="85">
        <v>137964.81</v>
      </c>
      <c r="N35" s="123">
        <v>212749381</v>
      </c>
      <c r="O35" s="112">
        <f t="shared" si="1"/>
        <v>-1.0153820435564453E-2</v>
      </c>
    </row>
    <row r="36" spans="1:15">
      <c r="A36" s="121">
        <v>45866</v>
      </c>
      <c r="B36" s="103">
        <v>173.11</v>
      </c>
      <c r="C36" s="103">
        <v>174</v>
      </c>
      <c r="D36" s="103">
        <v>172</v>
      </c>
      <c r="E36" s="103">
        <v>173.11</v>
      </c>
      <c r="F36" s="104">
        <v>832354</v>
      </c>
      <c r="G36" s="112">
        <f t="shared" si="0"/>
        <v>-3.8544848653151886E-2</v>
      </c>
      <c r="I36" s="105">
        <v>45866</v>
      </c>
      <c r="J36" s="85">
        <v>139759.59</v>
      </c>
      <c r="K36" s="85">
        <v>140149.23000000001</v>
      </c>
      <c r="L36" s="85">
        <v>139195.84</v>
      </c>
      <c r="M36" s="85">
        <v>139380.04999999999</v>
      </c>
      <c r="N36" s="123">
        <v>213994569</v>
      </c>
      <c r="O36" s="112">
        <f t="shared" si="1"/>
        <v>1.2410988850581894E-3</v>
      </c>
    </row>
    <row r="37" spans="1:15">
      <c r="A37" s="121">
        <v>45863</v>
      </c>
      <c r="B37" s="103">
        <v>182.9</v>
      </c>
      <c r="C37" s="103">
        <v>182.9</v>
      </c>
      <c r="D37" s="103">
        <v>176.5</v>
      </c>
      <c r="E37" s="103">
        <v>180.05</v>
      </c>
      <c r="F37" s="104">
        <v>4291933</v>
      </c>
      <c r="G37" s="112">
        <f t="shared" si="0"/>
        <v>4.9854227405247808E-2</v>
      </c>
      <c r="I37" s="105">
        <v>45863</v>
      </c>
      <c r="J37" s="85">
        <v>138876.07</v>
      </c>
      <c r="K37" s="85">
        <v>139436.76</v>
      </c>
      <c r="L37" s="85">
        <v>138808.64000000001</v>
      </c>
      <c r="M37" s="85">
        <v>139207.28</v>
      </c>
      <c r="N37" s="123">
        <v>190962843</v>
      </c>
      <c r="O37" s="112">
        <f t="shared" si="1"/>
        <v>3.7105063815201511E-3</v>
      </c>
    </row>
    <row r="38" spans="1:15">
      <c r="A38" s="121">
        <v>45862</v>
      </c>
      <c r="B38" s="103">
        <v>159.09</v>
      </c>
      <c r="C38" s="103">
        <v>171.8</v>
      </c>
      <c r="D38" s="103">
        <v>157.12</v>
      </c>
      <c r="E38" s="103">
        <v>171.5</v>
      </c>
      <c r="F38" s="104">
        <v>7671167</v>
      </c>
      <c r="G38" s="112">
        <f t="shared" si="0"/>
        <v>7.0536828963795317E-2</v>
      </c>
      <c r="I38" s="105">
        <v>45862</v>
      </c>
      <c r="J38" s="85">
        <v>139501.6</v>
      </c>
      <c r="K38" s="85">
        <v>139867.82</v>
      </c>
      <c r="L38" s="85">
        <v>138614.09</v>
      </c>
      <c r="M38" s="85">
        <v>138692.66</v>
      </c>
      <c r="N38" s="123">
        <v>272658121</v>
      </c>
      <c r="O38" s="112">
        <f t="shared" si="1"/>
        <v>-4.0335544275637014E-3</v>
      </c>
    </row>
    <row r="39" spans="1:15">
      <c r="A39" s="121">
        <v>45861</v>
      </c>
      <c r="B39" s="103">
        <v>157.99</v>
      </c>
      <c r="C39" s="103">
        <v>162</v>
      </c>
      <c r="D39" s="103">
        <v>157.19999999999999</v>
      </c>
      <c r="E39" s="103">
        <v>160.19999999999999</v>
      </c>
      <c r="F39" s="104">
        <v>1939151</v>
      </c>
      <c r="G39" s="112">
        <f t="shared" si="0"/>
        <v>3.5707573764329759E-3</v>
      </c>
      <c r="I39" s="105">
        <v>45861</v>
      </c>
      <c r="J39" s="85">
        <v>139966.07</v>
      </c>
      <c r="K39" s="85">
        <v>140202.17000000001</v>
      </c>
      <c r="L39" s="85">
        <v>139105.04999999999</v>
      </c>
      <c r="M39" s="85">
        <v>139254.35</v>
      </c>
      <c r="N39" s="123">
        <v>193415774</v>
      </c>
      <c r="O39" s="112">
        <f t="shared" si="1"/>
        <v>-1.1853425784219551E-3</v>
      </c>
    </row>
    <row r="40" spans="1:15">
      <c r="A40" s="121">
        <v>45860</v>
      </c>
      <c r="B40" s="103">
        <v>162</v>
      </c>
      <c r="C40" s="103">
        <v>162.75</v>
      </c>
      <c r="D40" s="103">
        <v>158.55000000000001</v>
      </c>
      <c r="E40" s="103">
        <v>159.63</v>
      </c>
      <c r="F40" s="104">
        <v>4109609</v>
      </c>
      <c r="G40" s="112">
        <f t="shared" si="0"/>
        <v>-4.4818094782192452E-2</v>
      </c>
      <c r="I40" s="105">
        <v>45860</v>
      </c>
      <c r="J40" s="85">
        <v>138197.81</v>
      </c>
      <c r="K40" s="85">
        <v>139901.76999999999</v>
      </c>
      <c r="L40" s="85">
        <v>138197.81</v>
      </c>
      <c r="M40" s="85">
        <v>139419.60999999999</v>
      </c>
      <c r="N40" s="123">
        <v>245773585</v>
      </c>
      <c r="O40" s="112">
        <f t="shared" si="1"/>
        <v>8.6966505997283505E-3</v>
      </c>
    </row>
    <row r="41" spans="1:15">
      <c r="A41" s="121">
        <v>45859</v>
      </c>
      <c r="B41" s="103">
        <v>170.01</v>
      </c>
      <c r="C41" s="103">
        <v>171.98</v>
      </c>
      <c r="D41" s="103">
        <v>166.24</v>
      </c>
      <c r="E41" s="103">
        <v>167.12</v>
      </c>
      <c r="F41" s="104">
        <v>3592330</v>
      </c>
      <c r="G41" s="112">
        <f t="shared" si="0"/>
        <v>-8.3972812979609679E-2</v>
      </c>
      <c r="I41" s="105">
        <v>45859</v>
      </c>
      <c r="J41" s="85">
        <v>139142.17000000001</v>
      </c>
      <c r="K41" s="85">
        <v>139201.15</v>
      </c>
      <c r="L41" s="85">
        <v>138149.56</v>
      </c>
      <c r="M41" s="85">
        <v>138217.57999999999</v>
      </c>
      <c r="N41" s="123">
        <v>221762645</v>
      </c>
      <c r="O41" s="112">
        <f t="shared" si="1"/>
        <v>-2.7401676337845959E-3</v>
      </c>
    </row>
    <row r="42" spans="1:15">
      <c r="A42" s="121">
        <v>45856</v>
      </c>
      <c r="B42" s="103">
        <v>182.35</v>
      </c>
      <c r="C42" s="103">
        <v>184.79</v>
      </c>
      <c r="D42" s="103">
        <v>177.75</v>
      </c>
      <c r="E42" s="103">
        <v>182.44</v>
      </c>
      <c r="F42" s="104">
        <v>3552010</v>
      </c>
      <c r="G42" s="112">
        <f t="shared" si="0"/>
        <v>0.23957059383068335</v>
      </c>
      <c r="I42" s="105">
        <v>45856</v>
      </c>
      <c r="J42" s="85">
        <v>139600.23000000001</v>
      </c>
      <c r="K42" s="85">
        <v>140585.38</v>
      </c>
      <c r="L42" s="85">
        <v>138343.72</v>
      </c>
      <c r="M42" s="85">
        <v>138597.35999999999</v>
      </c>
      <c r="N42" s="123">
        <v>256324833</v>
      </c>
      <c r="O42" s="112">
        <f t="shared" si="1"/>
        <v>-4.9132628457160266E-4</v>
      </c>
    </row>
    <row r="43" spans="1:15">
      <c r="A43" s="121">
        <v>45855</v>
      </c>
      <c r="B43" s="103">
        <v>145.19999999999999</v>
      </c>
      <c r="C43" s="103">
        <v>154.69</v>
      </c>
      <c r="D43" s="103">
        <v>145</v>
      </c>
      <c r="E43" s="103">
        <v>147.18</v>
      </c>
      <c r="F43" s="104">
        <v>8325904</v>
      </c>
      <c r="G43" s="112">
        <f t="shared" si="0"/>
        <v>6.3823635706541371E-2</v>
      </c>
      <c r="I43" s="105">
        <v>45855</v>
      </c>
      <c r="J43" s="85">
        <v>136674.98000000001</v>
      </c>
      <c r="K43" s="85">
        <v>138943.47</v>
      </c>
      <c r="L43" s="85">
        <v>136674.98000000001</v>
      </c>
      <c r="M43" s="85">
        <v>138665.49</v>
      </c>
      <c r="N43" s="123">
        <v>299278059</v>
      </c>
      <c r="O43" s="112">
        <f t="shared" si="1"/>
        <v>1.6758547223507003E-2</v>
      </c>
    </row>
    <row r="44" spans="1:15">
      <c r="A44" s="121">
        <v>45854</v>
      </c>
      <c r="B44" s="103">
        <v>134.19999999999999</v>
      </c>
      <c r="C44" s="103">
        <v>139.6</v>
      </c>
      <c r="D44" s="103">
        <v>132.05000000000001</v>
      </c>
      <c r="E44" s="103">
        <v>138.35</v>
      </c>
      <c r="F44" s="104">
        <v>2788981</v>
      </c>
      <c r="G44" s="112">
        <f t="shared" si="0"/>
        <v>8.5608913998744374E-2</v>
      </c>
      <c r="I44" s="105">
        <v>45854</v>
      </c>
      <c r="J44" s="85">
        <v>136169.63</v>
      </c>
      <c r="K44" s="85">
        <v>137232.1</v>
      </c>
      <c r="L44" s="85">
        <v>135542.88</v>
      </c>
      <c r="M44" s="85">
        <v>136379.96</v>
      </c>
      <c r="N44" s="123">
        <v>273102874</v>
      </c>
      <c r="O44" s="112">
        <f t="shared" si="1"/>
        <v>3.2373872359889866E-3</v>
      </c>
    </row>
    <row r="45" spans="1:15">
      <c r="A45" s="121">
        <v>45853</v>
      </c>
      <c r="B45" s="103">
        <v>130.94</v>
      </c>
      <c r="C45" s="103">
        <v>130.94</v>
      </c>
      <c r="D45" s="103">
        <v>127.01</v>
      </c>
      <c r="E45" s="103">
        <v>127.44</v>
      </c>
      <c r="F45" s="104">
        <v>1128150</v>
      </c>
      <c r="G45" s="112">
        <f t="shared" si="0"/>
        <v>-3.4691713376761135E-2</v>
      </c>
      <c r="I45" s="105">
        <v>45853</v>
      </c>
      <c r="J45" s="85">
        <v>136840.16</v>
      </c>
      <c r="K45" s="85">
        <v>137747.6</v>
      </c>
      <c r="L45" s="85">
        <v>135826.4</v>
      </c>
      <c r="M45" s="85">
        <v>135939.87</v>
      </c>
      <c r="N45" s="123">
        <v>307744740</v>
      </c>
      <c r="O45" s="112">
        <f t="shared" si="1"/>
        <v>-4.1219748820773283E-3</v>
      </c>
    </row>
    <row r="46" spans="1:15">
      <c r="A46" s="121">
        <v>45852</v>
      </c>
      <c r="B46" s="103">
        <v>133.9</v>
      </c>
      <c r="C46" s="103">
        <v>134.99</v>
      </c>
      <c r="D46" s="103">
        <v>131.5</v>
      </c>
      <c r="E46" s="103">
        <v>132.02000000000001</v>
      </c>
      <c r="F46" s="104">
        <v>443202</v>
      </c>
      <c r="G46" s="112">
        <f t="shared" si="0"/>
        <v>-5.6056056056056125E-2</v>
      </c>
      <c r="I46" s="105">
        <v>45852</v>
      </c>
      <c r="J46" s="85">
        <v>134937.43</v>
      </c>
      <c r="K46" s="85">
        <v>136841.49</v>
      </c>
      <c r="L46" s="85">
        <v>134937.43</v>
      </c>
      <c r="M46" s="85">
        <v>136502.53</v>
      </c>
      <c r="N46" s="123">
        <v>259908009</v>
      </c>
      <c r="O46" s="112">
        <f t="shared" si="1"/>
        <v>1.6401890814994768E-2</v>
      </c>
    </row>
    <row r="47" spans="1:15">
      <c r="A47" s="121">
        <v>45849</v>
      </c>
      <c r="B47" s="103">
        <v>138.5</v>
      </c>
      <c r="C47" s="103">
        <v>141.5</v>
      </c>
      <c r="D47" s="103">
        <v>138.5</v>
      </c>
      <c r="E47" s="103">
        <v>139.86000000000001</v>
      </c>
      <c r="F47" s="104">
        <v>3452345</v>
      </c>
      <c r="G47" s="112">
        <f t="shared" si="0"/>
        <v>3.4314450525070317E-2</v>
      </c>
      <c r="I47" s="105">
        <v>45849</v>
      </c>
      <c r="J47" s="85">
        <v>134130.91</v>
      </c>
      <c r="K47" s="85">
        <v>134931.96</v>
      </c>
      <c r="L47" s="85">
        <v>134130.4</v>
      </c>
      <c r="M47" s="85">
        <v>134299.76</v>
      </c>
      <c r="N47" s="123">
        <v>290063736</v>
      </c>
      <c r="O47" s="112">
        <f t="shared" si="1"/>
        <v>3.8676255774865442E-3</v>
      </c>
    </row>
    <row r="48" spans="1:15">
      <c r="A48" s="121">
        <v>45848</v>
      </c>
      <c r="B48" s="103">
        <v>134.02000000000001</v>
      </c>
      <c r="C48" s="103">
        <v>135.47999999999999</v>
      </c>
      <c r="D48" s="103">
        <v>133.5</v>
      </c>
      <c r="E48" s="103">
        <v>135.22</v>
      </c>
      <c r="F48" s="104">
        <v>1067275</v>
      </c>
      <c r="G48" s="112">
        <f t="shared" si="0"/>
        <v>-1.1080741670975724E-3</v>
      </c>
      <c r="I48" s="105">
        <v>45848</v>
      </c>
      <c r="J48" s="85">
        <v>132773.87</v>
      </c>
      <c r="K48" s="85">
        <v>133902.34</v>
      </c>
      <c r="L48" s="85">
        <v>132706.01999999999</v>
      </c>
      <c r="M48" s="85">
        <v>133782.34</v>
      </c>
      <c r="N48" s="123">
        <v>325787943</v>
      </c>
      <c r="O48" s="112">
        <f t="shared" si="1"/>
        <v>9.0917744543583812E-3</v>
      </c>
    </row>
    <row r="49" spans="1:15">
      <c r="A49" s="121">
        <v>45847</v>
      </c>
      <c r="B49" s="103">
        <v>136.80000000000001</v>
      </c>
      <c r="C49" s="103">
        <v>137</v>
      </c>
      <c r="D49" s="103">
        <v>135</v>
      </c>
      <c r="E49" s="103">
        <v>135.37</v>
      </c>
      <c r="F49" s="104">
        <v>1370755</v>
      </c>
      <c r="G49" s="112">
        <f t="shared" si="0"/>
        <v>4.8567002323780084E-2</v>
      </c>
      <c r="I49" s="105">
        <v>45847</v>
      </c>
      <c r="J49" s="85">
        <v>133524.93</v>
      </c>
      <c r="K49" s="85">
        <v>133566.37</v>
      </c>
      <c r="L49" s="85">
        <v>132326.17000000001</v>
      </c>
      <c r="M49" s="85">
        <v>132576.98000000001</v>
      </c>
      <c r="N49" s="123">
        <v>161034774</v>
      </c>
      <c r="O49" s="112">
        <f t="shared" si="1"/>
        <v>-6.1933301594960799E-3</v>
      </c>
    </row>
    <row r="50" spans="1:15">
      <c r="A50" s="121">
        <v>45846</v>
      </c>
      <c r="B50" s="103">
        <v>129</v>
      </c>
      <c r="C50" s="103">
        <v>129.81</v>
      </c>
      <c r="D50" s="103">
        <v>128.25</v>
      </c>
      <c r="E50" s="103">
        <v>129.1</v>
      </c>
      <c r="F50" s="104">
        <v>2489854</v>
      </c>
      <c r="G50" s="112">
        <f t="shared" si="0"/>
        <v>1.6215365239294677E-2</v>
      </c>
      <c r="I50" s="105">
        <v>45846</v>
      </c>
      <c r="J50" s="85">
        <v>133746.63</v>
      </c>
      <c r="K50" s="85">
        <v>134200.26999999999</v>
      </c>
      <c r="L50" s="85">
        <v>132696.35</v>
      </c>
      <c r="M50" s="85">
        <v>133403.19</v>
      </c>
      <c r="N50" s="123">
        <v>324460593</v>
      </c>
      <c r="O50" s="112">
        <f t="shared" si="1"/>
        <v>2.4780659298984098E-4</v>
      </c>
    </row>
    <row r="51" spans="1:15">
      <c r="A51" s="121">
        <v>45845</v>
      </c>
      <c r="B51" s="103">
        <v>128.5</v>
      </c>
      <c r="C51" s="103">
        <v>128.88999999999999</v>
      </c>
      <c r="D51" s="103">
        <v>123.6</v>
      </c>
      <c r="E51" s="103">
        <v>127.04</v>
      </c>
      <c r="F51" s="104">
        <v>2427707</v>
      </c>
      <c r="G51" s="112">
        <f t="shared" si="0"/>
        <v>-9.8979035149248107E-3</v>
      </c>
      <c r="I51" s="105">
        <v>45845</v>
      </c>
      <c r="J51" s="85">
        <v>132485.75</v>
      </c>
      <c r="K51" s="85">
        <v>133862.01</v>
      </c>
      <c r="L51" s="85">
        <v>132467.12</v>
      </c>
      <c r="M51" s="85">
        <v>133370.14000000001</v>
      </c>
      <c r="N51" s="123">
        <v>344248572</v>
      </c>
      <c r="O51" s="112">
        <f t="shared" si="1"/>
        <v>1.076991378339498E-2</v>
      </c>
    </row>
    <row r="52" spans="1:15">
      <c r="A52" s="121">
        <v>45842</v>
      </c>
      <c r="B52" s="103">
        <v>128</v>
      </c>
      <c r="C52" s="103">
        <v>129.38</v>
      </c>
      <c r="D52" s="103">
        <v>126.41</v>
      </c>
      <c r="E52" s="103">
        <v>128.31</v>
      </c>
      <c r="F52" s="104">
        <v>6578961</v>
      </c>
      <c r="G52" s="112">
        <f t="shared" si="0"/>
        <v>0.10612068965517252</v>
      </c>
      <c r="I52" s="105">
        <v>45842</v>
      </c>
      <c r="J52" s="85">
        <v>130896.02</v>
      </c>
      <c r="K52" s="85">
        <v>132129.60000000001</v>
      </c>
      <c r="L52" s="85">
        <v>130716.1</v>
      </c>
      <c r="M52" s="85">
        <v>131949.06</v>
      </c>
      <c r="N52" s="123">
        <v>198953974</v>
      </c>
      <c r="O52" s="112">
        <f t="shared" si="1"/>
        <v>9.6598237080833815E-3</v>
      </c>
    </row>
    <row r="53" spans="1:15">
      <c r="A53" s="121">
        <v>45841</v>
      </c>
      <c r="B53" s="103">
        <v>114.9</v>
      </c>
      <c r="C53" s="103">
        <v>116.45</v>
      </c>
      <c r="D53" s="103">
        <v>114.55</v>
      </c>
      <c r="E53" s="103">
        <v>116</v>
      </c>
      <c r="F53" s="104">
        <v>238665</v>
      </c>
      <c r="G53" s="112">
        <f t="shared" si="0"/>
        <v>-5.4016976764125202E-3</v>
      </c>
      <c r="I53" s="105">
        <v>45841</v>
      </c>
      <c r="J53" s="85">
        <v>130831.28</v>
      </c>
      <c r="K53" s="85">
        <v>131325.1</v>
      </c>
      <c r="L53" s="85">
        <v>129776.2</v>
      </c>
      <c r="M53" s="85">
        <v>130686.65</v>
      </c>
      <c r="N53" s="123">
        <v>280008751</v>
      </c>
      <c r="O53" s="112">
        <f t="shared" si="1"/>
        <v>2.628582221985809E-3</v>
      </c>
    </row>
    <row r="54" spans="1:15">
      <c r="A54" s="121">
        <v>45840</v>
      </c>
      <c r="B54" s="103">
        <v>119.9</v>
      </c>
      <c r="C54" s="103">
        <v>119.9</v>
      </c>
      <c r="D54" s="103">
        <v>116</v>
      </c>
      <c r="E54" s="103">
        <v>116.63</v>
      </c>
      <c r="F54" s="104">
        <v>1674924</v>
      </c>
      <c r="G54" s="112">
        <f t="shared" si="0"/>
        <v>-5.3558386756471732E-2</v>
      </c>
      <c r="I54" s="105">
        <v>45840</v>
      </c>
      <c r="J54" s="85">
        <v>128616.11</v>
      </c>
      <c r="K54" s="85">
        <v>130545.94</v>
      </c>
      <c r="L54" s="85">
        <v>128616.11</v>
      </c>
      <c r="M54" s="85">
        <v>130344.03</v>
      </c>
      <c r="N54" s="123">
        <v>345794612</v>
      </c>
      <c r="O54" s="112">
        <f t="shared" si="1"/>
        <v>1.6728702828764819E-2</v>
      </c>
    </row>
    <row r="55" spans="1:15">
      <c r="A55" s="121">
        <v>45839</v>
      </c>
      <c r="B55" s="103">
        <v>125.55</v>
      </c>
      <c r="C55" s="103">
        <v>129.1</v>
      </c>
      <c r="D55" s="103">
        <v>121.99</v>
      </c>
      <c r="E55" s="103">
        <v>123.23</v>
      </c>
      <c r="F55" s="104">
        <v>4119350</v>
      </c>
      <c r="G55" s="112">
        <f t="shared" si="0"/>
        <v>-4.5246765321143467E-2</v>
      </c>
      <c r="I55" s="105">
        <v>45839</v>
      </c>
      <c r="J55" s="85">
        <v>126114.17</v>
      </c>
      <c r="K55" s="85">
        <v>128475.69</v>
      </c>
      <c r="L55" s="85">
        <v>126113.27</v>
      </c>
      <c r="M55" s="85">
        <v>128199.42</v>
      </c>
      <c r="N55" s="123">
        <v>336907385</v>
      </c>
      <c r="O55" s="112">
        <f t="shared" si="1"/>
        <v>2.0474130983143768E-2</v>
      </c>
    </row>
    <row r="56" spans="1:15">
      <c r="A56" s="121">
        <v>45838</v>
      </c>
      <c r="B56" s="103">
        <v>134.12</v>
      </c>
      <c r="C56" s="103">
        <v>134.94999999999999</v>
      </c>
      <c r="D56" s="103">
        <v>128.5</v>
      </c>
      <c r="E56" s="103">
        <v>129.07</v>
      </c>
      <c r="F56" s="104">
        <v>3044515</v>
      </c>
      <c r="G56" s="112">
        <f t="shared" si="0"/>
        <v>-6.021552351827586E-2</v>
      </c>
      <c r="I56" s="105">
        <v>45838</v>
      </c>
      <c r="J56" s="85">
        <v>124884.07</v>
      </c>
      <c r="K56" s="85">
        <v>125748.58</v>
      </c>
      <c r="L56" s="85">
        <v>124500.2</v>
      </c>
      <c r="M56" s="85">
        <v>125627.31</v>
      </c>
      <c r="N56" s="123">
        <v>258993624</v>
      </c>
      <c r="O56" s="112">
        <f t="shared" si="1"/>
        <v>1.0035853301994635E-2</v>
      </c>
    </row>
    <row r="57" spans="1:15">
      <c r="A57" s="121">
        <v>45835</v>
      </c>
      <c r="B57" s="103">
        <v>137.44999999999999</v>
      </c>
      <c r="C57" s="103">
        <v>138</v>
      </c>
      <c r="D57" s="103">
        <v>134.6</v>
      </c>
      <c r="E57" s="103">
        <v>137.34</v>
      </c>
      <c r="F57" s="104">
        <v>702144</v>
      </c>
      <c r="G57" s="112">
        <f t="shared" si="0"/>
        <v>-5.8215689128204851E-4</v>
      </c>
      <c r="I57" s="105">
        <v>45835</v>
      </c>
      <c r="J57" s="85">
        <v>122229.41</v>
      </c>
      <c r="K57" s="85">
        <v>125285.05</v>
      </c>
      <c r="L57" s="85">
        <v>122222.69</v>
      </c>
      <c r="M57" s="85">
        <v>124379.06</v>
      </c>
      <c r="N57" s="123">
        <v>220312628</v>
      </c>
      <c r="O57" s="112">
        <f t="shared" si="1"/>
        <v>1.9112393755623902E-2</v>
      </c>
    </row>
    <row r="58" spans="1:15">
      <c r="A58" s="121">
        <v>45834</v>
      </c>
      <c r="B58" s="103">
        <v>136.13999999999999</v>
      </c>
      <c r="C58" s="103">
        <v>138.30000000000001</v>
      </c>
      <c r="D58" s="103">
        <v>136.13999999999999</v>
      </c>
      <c r="E58" s="103">
        <v>137.41999999999999</v>
      </c>
      <c r="F58" s="104">
        <v>643068</v>
      </c>
      <c r="G58" s="112">
        <f t="shared" si="0"/>
        <v>4.4383644930840349E-2</v>
      </c>
      <c r="I58" s="105">
        <v>45834</v>
      </c>
      <c r="J58" s="85">
        <v>123031.82</v>
      </c>
      <c r="K58" s="85">
        <v>123417.87</v>
      </c>
      <c r="L58" s="85">
        <v>122142.42</v>
      </c>
      <c r="M58" s="85">
        <v>122046.46</v>
      </c>
      <c r="N58" s="123">
        <v>244240559</v>
      </c>
      <c r="O58" s="112">
        <f t="shared" si="1"/>
        <v>-5.8257612068394193E-3</v>
      </c>
    </row>
    <row r="59" spans="1:15">
      <c r="A59" s="121">
        <v>45833</v>
      </c>
      <c r="B59" s="103">
        <v>135</v>
      </c>
      <c r="C59" s="103">
        <v>135.5</v>
      </c>
      <c r="D59" s="103">
        <v>130.53</v>
      </c>
      <c r="E59" s="103">
        <v>131.58000000000001</v>
      </c>
      <c r="F59" s="104">
        <v>1826989</v>
      </c>
      <c r="G59" s="112">
        <f t="shared" si="0"/>
        <v>-3.3281904342076229E-2</v>
      </c>
      <c r="I59" s="105">
        <v>45833</v>
      </c>
      <c r="J59" s="85">
        <v>122753.01</v>
      </c>
      <c r="K59" s="85">
        <v>123256.55</v>
      </c>
      <c r="L59" s="85">
        <v>122168.76</v>
      </c>
      <c r="M59" s="85">
        <v>122761.64</v>
      </c>
      <c r="N59" s="123">
        <v>221146514</v>
      </c>
      <c r="O59" s="112">
        <f t="shared" si="1"/>
        <v>4.2128768703071362E-3</v>
      </c>
    </row>
    <row r="60" spans="1:15">
      <c r="A60" s="121">
        <v>45832</v>
      </c>
      <c r="B60" s="103">
        <v>135.79</v>
      </c>
      <c r="C60" s="103">
        <v>138.69</v>
      </c>
      <c r="D60" s="103">
        <v>135.55000000000001</v>
      </c>
      <c r="E60" s="103">
        <v>136.11000000000001</v>
      </c>
      <c r="F60" s="104">
        <v>1836143</v>
      </c>
      <c r="G60" s="112">
        <f t="shared" si="0"/>
        <v>-4.4372674296145442E-2</v>
      </c>
      <c r="I60" s="105">
        <v>45832</v>
      </c>
      <c r="J60" s="85">
        <v>120499.52</v>
      </c>
      <c r="K60" s="85">
        <v>122725.21</v>
      </c>
      <c r="L60" s="85">
        <v>120369.53</v>
      </c>
      <c r="M60" s="85">
        <v>122246.63</v>
      </c>
      <c r="N60" s="123">
        <v>318302088</v>
      </c>
      <c r="O60" s="112">
        <f t="shared" si="1"/>
        <v>5.233100109695088E-2</v>
      </c>
    </row>
    <row r="61" spans="1:15">
      <c r="A61" s="121">
        <v>45831</v>
      </c>
      <c r="B61" s="103">
        <v>141.63999999999999</v>
      </c>
      <c r="C61" s="103">
        <v>144.25</v>
      </c>
      <c r="D61" s="103">
        <v>137.5</v>
      </c>
      <c r="E61" s="103">
        <v>142.43</v>
      </c>
      <c r="F61" s="104">
        <v>5099615</v>
      </c>
      <c r="G61" s="112">
        <f t="shared" si="0"/>
        <v>-4.261611884116423E-2</v>
      </c>
      <c r="I61" s="105">
        <v>45831</v>
      </c>
      <c r="J61" s="85">
        <v>118272</v>
      </c>
      <c r="K61" s="85">
        <v>118798.51</v>
      </c>
      <c r="L61" s="85">
        <v>115887.48</v>
      </c>
      <c r="M61" s="85">
        <v>116167.47</v>
      </c>
      <c r="N61" s="123">
        <v>196190358</v>
      </c>
      <c r="O61" s="112">
        <f t="shared" si="1"/>
        <v>-3.2125114446595049E-2</v>
      </c>
    </row>
    <row r="62" spans="1:15">
      <c r="A62" s="121">
        <v>45828</v>
      </c>
      <c r="B62" s="103">
        <v>148</v>
      </c>
      <c r="C62" s="103">
        <v>153.26</v>
      </c>
      <c r="D62" s="103">
        <v>148</v>
      </c>
      <c r="E62" s="103">
        <v>148.77000000000001</v>
      </c>
      <c r="F62" s="104">
        <v>7829515</v>
      </c>
      <c r="G62" s="112">
        <f t="shared" si="0"/>
        <v>4.049517415023085E-2</v>
      </c>
      <c r="I62" s="105">
        <v>45828</v>
      </c>
      <c r="J62" s="85">
        <v>120234.95</v>
      </c>
      <c r="K62" s="85">
        <v>120828.86</v>
      </c>
      <c r="L62" s="85">
        <v>119872.15</v>
      </c>
      <c r="M62" s="85">
        <v>120023.23</v>
      </c>
      <c r="N62" s="123">
        <v>136795591</v>
      </c>
      <c r="O62" s="112">
        <f t="shared" si="1"/>
        <v>1.7199628774688946E-4</v>
      </c>
    </row>
    <row r="63" spans="1:15">
      <c r="A63" s="121">
        <v>45827</v>
      </c>
      <c r="B63" s="103">
        <v>140</v>
      </c>
      <c r="C63" s="103">
        <v>145.1</v>
      </c>
      <c r="D63" s="103">
        <v>137.51</v>
      </c>
      <c r="E63" s="103">
        <v>142.97999999999999</v>
      </c>
      <c r="F63" s="104">
        <v>5278504</v>
      </c>
      <c r="G63" s="112">
        <f t="shared" si="0"/>
        <v>0.14319980810745991</v>
      </c>
      <c r="I63" s="105">
        <v>45827</v>
      </c>
      <c r="J63" s="85">
        <v>121103.35</v>
      </c>
      <c r="K63" s="85">
        <v>121745.3</v>
      </c>
      <c r="L63" s="85">
        <v>119770.03</v>
      </c>
      <c r="M63" s="85">
        <v>120002.59</v>
      </c>
      <c r="N63" s="123">
        <v>134097500</v>
      </c>
      <c r="O63" s="112">
        <f t="shared" si="1"/>
        <v>-3.8462327066249857E-3</v>
      </c>
    </row>
    <row r="64" spans="1:15">
      <c r="A64" s="121">
        <v>45826</v>
      </c>
      <c r="B64" s="103">
        <v>123.99</v>
      </c>
      <c r="C64" s="103">
        <v>125.7</v>
      </c>
      <c r="D64" s="103">
        <v>122.52</v>
      </c>
      <c r="E64" s="103">
        <v>125.07</v>
      </c>
      <c r="F64" s="104">
        <v>1963928</v>
      </c>
      <c r="G64" s="112">
        <f t="shared" si="0"/>
        <v>-1.3876843018213347E-2</v>
      </c>
      <c r="I64" s="105">
        <v>45826</v>
      </c>
      <c r="J64" s="85">
        <v>121857.96</v>
      </c>
      <c r="K64" s="85">
        <v>121905.49</v>
      </c>
      <c r="L64" s="85">
        <v>120417.99</v>
      </c>
      <c r="M64" s="85">
        <v>120465.93</v>
      </c>
      <c r="N64" s="123">
        <v>122208772</v>
      </c>
      <c r="O64" s="112">
        <f t="shared" si="1"/>
        <v>-1.2339896421314389E-2</v>
      </c>
    </row>
    <row r="65" spans="1:15">
      <c r="A65" s="121">
        <v>45825</v>
      </c>
      <c r="B65" s="103">
        <v>125.8</v>
      </c>
      <c r="C65" s="103">
        <v>129.97999999999999</v>
      </c>
      <c r="D65" s="103">
        <v>125.8</v>
      </c>
      <c r="E65" s="103">
        <v>126.83</v>
      </c>
      <c r="F65" s="104">
        <v>5385468</v>
      </c>
      <c r="G65" s="112">
        <f t="shared" si="0"/>
        <v>4.0272309711286036E-2</v>
      </c>
      <c r="I65" s="105">
        <v>45825</v>
      </c>
      <c r="J65" s="85">
        <v>122367.28</v>
      </c>
      <c r="K65" s="85">
        <v>122891.61</v>
      </c>
      <c r="L65" s="85">
        <v>121815.38</v>
      </c>
      <c r="M65" s="85">
        <v>121971.04</v>
      </c>
      <c r="N65" s="123">
        <v>203245346</v>
      </c>
      <c r="O65" s="112">
        <f t="shared" si="1"/>
        <v>-2.0806649357110185E-3</v>
      </c>
    </row>
    <row r="66" spans="1:15">
      <c r="A66" s="121">
        <v>45824</v>
      </c>
      <c r="B66" s="103">
        <v>113.35</v>
      </c>
      <c r="C66" s="103">
        <v>121.92</v>
      </c>
      <c r="D66" s="103">
        <v>112.06</v>
      </c>
      <c r="E66" s="103">
        <v>121.92</v>
      </c>
      <c r="F66" s="104">
        <v>20943162</v>
      </c>
      <c r="G66" s="112">
        <f t="shared" si="0"/>
        <v>0.15585893060295786</v>
      </c>
      <c r="I66" s="105">
        <v>45824</v>
      </c>
      <c r="J66" s="85">
        <v>122168.25</v>
      </c>
      <c r="K66" s="85">
        <v>122903.33</v>
      </c>
      <c r="L66" s="85">
        <v>121889.95</v>
      </c>
      <c r="M66" s="85">
        <v>122225.35</v>
      </c>
      <c r="N66" s="123">
        <v>181443219</v>
      </c>
      <c r="O66" s="112">
        <f t="shared" si="1"/>
        <v>6.6962187773156323E-4</v>
      </c>
    </row>
    <row r="67" spans="1:15">
      <c r="A67" s="121">
        <v>45821</v>
      </c>
      <c r="B67" s="103">
        <v>106.48</v>
      </c>
      <c r="C67" s="103">
        <v>107.46</v>
      </c>
      <c r="D67" s="103">
        <v>105.1</v>
      </c>
      <c r="E67" s="103">
        <v>105.48</v>
      </c>
      <c r="F67" s="104">
        <v>1047371</v>
      </c>
      <c r="G67" s="112">
        <f t="shared" si="0"/>
        <v>-6.7209055535903728E-2</v>
      </c>
      <c r="I67" s="105">
        <v>45821</v>
      </c>
      <c r="J67" s="85">
        <v>122679.01</v>
      </c>
      <c r="K67" s="85">
        <v>123058.06</v>
      </c>
      <c r="L67" s="85">
        <v>121604.59</v>
      </c>
      <c r="M67" s="85">
        <v>122143.56</v>
      </c>
      <c r="N67" s="123">
        <v>238192304</v>
      </c>
      <c r="O67" s="112">
        <f t="shared" si="1"/>
        <v>-1.5710460015833205E-2</v>
      </c>
    </row>
    <row r="68" spans="1:15">
      <c r="A68" s="121">
        <v>45820</v>
      </c>
      <c r="B68" s="103">
        <v>114</v>
      </c>
      <c r="C68" s="103">
        <v>114.49</v>
      </c>
      <c r="D68" s="103">
        <v>112.9</v>
      </c>
      <c r="E68" s="103">
        <v>113.08</v>
      </c>
      <c r="F68" s="104">
        <v>1294625</v>
      </c>
      <c r="G68" s="112">
        <f t="shared" ref="G68:G131" si="2">E68/E69-1</f>
        <v>-2.3320089825531243E-2</v>
      </c>
      <c r="I68" s="105">
        <v>45820</v>
      </c>
      <c r="J68" s="85">
        <v>124807.09</v>
      </c>
      <c r="K68" s="85">
        <v>126718.28</v>
      </c>
      <c r="L68" s="85">
        <v>123846.55</v>
      </c>
      <c r="M68" s="85">
        <v>124093.12</v>
      </c>
      <c r="N68" s="123">
        <v>371979603</v>
      </c>
      <c r="O68" s="112">
        <f t="shared" ref="O68:O131" si="3">M68/M69-1</f>
        <v>-2.0872891521115378E-3</v>
      </c>
    </row>
    <row r="69" spans="1:15">
      <c r="A69" s="121">
        <v>45819</v>
      </c>
      <c r="B69" s="103">
        <v>114.6</v>
      </c>
      <c r="C69" s="103">
        <v>116.8</v>
      </c>
      <c r="D69" s="103">
        <v>113.83</v>
      </c>
      <c r="E69" s="103">
        <v>115.78</v>
      </c>
      <c r="F69" s="104">
        <v>6155777</v>
      </c>
      <c r="G69" s="112">
        <f t="shared" si="2"/>
        <v>1.7488355743035422E-2</v>
      </c>
      <c r="I69" s="105">
        <v>45819</v>
      </c>
      <c r="J69" s="85">
        <v>123290.25</v>
      </c>
      <c r="K69" s="85">
        <v>124588.17</v>
      </c>
      <c r="L69" s="85">
        <v>123237.99</v>
      </c>
      <c r="M69" s="85">
        <v>124352.68</v>
      </c>
      <c r="N69" s="123">
        <v>332588686</v>
      </c>
      <c r="O69" s="112">
        <f t="shared" si="3"/>
        <v>1.9080112148025297E-2</v>
      </c>
    </row>
    <row r="70" spans="1:15">
      <c r="A70" s="121">
        <v>45818</v>
      </c>
      <c r="B70" s="103">
        <v>116.1</v>
      </c>
      <c r="C70" s="103">
        <v>116.1</v>
      </c>
      <c r="D70" s="103">
        <v>113.27</v>
      </c>
      <c r="E70" s="103">
        <v>113.79</v>
      </c>
      <c r="F70" s="104">
        <v>1263164</v>
      </c>
      <c r="G70" s="112">
        <f t="shared" si="2"/>
        <v>3.1737635546151832E-3</v>
      </c>
      <c r="I70" s="105">
        <v>45818</v>
      </c>
      <c r="J70" s="85">
        <v>122152.22</v>
      </c>
      <c r="K70" s="85">
        <v>122611.53</v>
      </c>
      <c r="L70" s="85">
        <v>121589.9</v>
      </c>
      <c r="M70" s="85">
        <v>122024.44</v>
      </c>
      <c r="N70" s="123">
        <v>235295388</v>
      </c>
      <c r="O70" s="112">
        <f t="shared" si="3"/>
        <v>3.1522266341119654E-3</v>
      </c>
    </row>
    <row r="71" spans="1:15">
      <c r="A71" s="121">
        <v>45813</v>
      </c>
      <c r="B71" s="103">
        <v>113.41</v>
      </c>
      <c r="C71" s="103">
        <v>114.1</v>
      </c>
      <c r="D71" s="103">
        <v>113</v>
      </c>
      <c r="E71" s="103">
        <v>113.43</v>
      </c>
      <c r="F71" s="104">
        <v>1666197</v>
      </c>
      <c r="G71" s="112">
        <f t="shared" si="2"/>
        <v>1.2767857142857109E-2</v>
      </c>
      <c r="I71" s="105">
        <v>45813</v>
      </c>
      <c r="J71" s="85">
        <v>122106.82</v>
      </c>
      <c r="K71" s="85">
        <v>122281.58</v>
      </c>
      <c r="L71" s="85">
        <v>121517.9</v>
      </c>
      <c r="M71" s="85">
        <v>121641</v>
      </c>
      <c r="N71" s="123">
        <v>407564641</v>
      </c>
      <c r="O71" s="112">
        <f t="shared" si="3"/>
        <v>-1.2960712440165389E-3</v>
      </c>
    </row>
    <row r="72" spans="1:15">
      <c r="A72" s="121">
        <v>45812</v>
      </c>
      <c r="B72" s="103">
        <v>113.02</v>
      </c>
      <c r="C72" s="103">
        <v>113.35</v>
      </c>
      <c r="D72" s="103">
        <v>111.4</v>
      </c>
      <c r="E72" s="103">
        <v>112</v>
      </c>
      <c r="F72" s="104">
        <v>2726018</v>
      </c>
      <c r="G72" s="112">
        <f t="shared" si="2"/>
        <v>-4.0109701748371696E-2</v>
      </c>
      <c r="I72" s="105">
        <v>45812</v>
      </c>
      <c r="J72" s="85">
        <v>120954.37</v>
      </c>
      <c r="K72" s="85">
        <v>121882.47</v>
      </c>
      <c r="L72" s="85">
        <v>120896.13</v>
      </c>
      <c r="M72" s="85">
        <v>121798.86</v>
      </c>
      <c r="N72" s="123">
        <v>292413286</v>
      </c>
      <c r="O72" s="112">
        <f t="shared" si="3"/>
        <v>1.1191201856823429E-2</v>
      </c>
    </row>
    <row r="73" spans="1:15">
      <c r="A73" s="121">
        <v>45811</v>
      </c>
      <c r="B73" s="103">
        <v>118.05</v>
      </c>
      <c r="C73" s="103">
        <v>118.8</v>
      </c>
      <c r="D73" s="103">
        <v>115.4</v>
      </c>
      <c r="E73" s="103">
        <v>116.68</v>
      </c>
      <c r="F73" s="104">
        <v>5594822</v>
      </c>
      <c r="G73" s="112">
        <f t="shared" si="2"/>
        <v>1.8772374050467278E-2</v>
      </c>
      <c r="I73" s="105">
        <v>45811</v>
      </c>
      <c r="J73" s="85">
        <v>119129.51</v>
      </c>
      <c r="K73" s="85">
        <v>120693.83</v>
      </c>
      <c r="L73" s="85">
        <v>119129.51</v>
      </c>
      <c r="M73" s="85">
        <v>120450.87</v>
      </c>
      <c r="N73" s="123">
        <v>315235806</v>
      </c>
      <c r="O73" s="112">
        <f t="shared" si="3"/>
        <v>1.323266413072921E-2</v>
      </c>
    </row>
    <row r="74" spans="1:15">
      <c r="A74" s="121">
        <v>45810</v>
      </c>
      <c r="B74" s="103">
        <v>115.1</v>
      </c>
      <c r="C74" s="103">
        <v>116.5</v>
      </c>
      <c r="D74" s="103">
        <v>112.51</v>
      </c>
      <c r="E74" s="103">
        <v>114.53</v>
      </c>
      <c r="F74" s="104">
        <v>48145538</v>
      </c>
      <c r="G74" s="112">
        <f t="shared" si="2"/>
        <v>3.2173756308579771E-2</v>
      </c>
      <c r="I74" s="105">
        <v>45810</v>
      </c>
      <c r="J74" s="85">
        <v>120211.57</v>
      </c>
      <c r="K74" s="85">
        <v>120590.77</v>
      </c>
      <c r="L74" s="85">
        <v>118672.84</v>
      </c>
      <c r="M74" s="85">
        <v>118877.8</v>
      </c>
      <c r="N74" s="123">
        <v>164316082</v>
      </c>
      <c r="O74" s="112">
        <f t="shared" si="3"/>
        <v>-6.7949084597691556E-3</v>
      </c>
    </row>
    <row r="75" spans="1:15">
      <c r="A75" s="121">
        <v>45807</v>
      </c>
      <c r="B75" s="103">
        <v>111.48</v>
      </c>
      <c r="C75" s="103">
        <v>111.5</v>
      </c>
      <c r="D75" s="103">
        <v>108.99</v>
      </c>
      <c r="E75" s="103">
        <v>110.96</v>
      </c>
      <c r="F75" s="104">
        <v>1519132</v>
      </c>
      <c r="G75" s="112">
        <f t="shared" si="2"/>
        <v>5.9836808703535027E-3</v>
      </c>
      <c r="I75" s="105">
        <v>45807</v>
      </c>
      <c r="J75" s="85">
        <v>119138.76</v>
      </c>
      <c r="K75" s="85">
        <v>119913.88</v>
      </c>
      <c r="L75" s="85">
        <v>118771.83</v>
      </c>
      <c r="M75" s="85">
        <v>119691.09</v>
      </c>
      <c r="N75" s="123">
        <v>211933819</v>
      </c>
      <c r="O75" s="112">
        <f t="shared" si="3"/>
        <v>6.0492689839743985E-3</v>
      </c>
    </row>
    <row r="76" spans="1:15">
      <c r="A76" s="121">
        <v>45806</v>
      </c>
      <c r="B76" s="103">
        <v>108.99</v>
      </c>
      <c r="C76" s="103">
        <v>110.7</v>
      </c>
      <c r="D76" s="103">
        <v>107.95</v>
      </c>
      <c r="E76" s="103">
        <v>110.3</v>
      </c>
      <c r="F76" s="104">
        <v>1508661</v>
      </c>
      <c r="G76" s="112">
        <f t="shared" si="2"/>
        <v>5.0576245356700689E-2</v>
      </c>
      <c r="I76" s="105">
        <v>45806</v>
      </c>
      <c r="J76" s="85">
        <v>118512.41</v>
      </c>
      <c r="K76" s="85">
        <v>119639.47</v>
      </c>
      <c r="L76" s="85">
        <v>118481.97</v>
      </c>
      <c r="M76" s="85">
        <v>118971.4</v>
      </c>
      <c r="N76" s="123">
        <v>315844339</v>
      </c>
      <c r="O76" s="112">
        <f t="shared" si="3"/>
        <v>5.3957944071345576E-3</v>
      </c>
    </row>
    <row r="77" spans="1:15">
      <c r="A77" s="121">
        <v>45804</v>
      </c>
      <c r="B77" s="103">
        <v>104.95</v>
      </c>
      <c r="C77" s="103">
        <v>105.9</v>
      </c>
      <c r="D77" s="103">
        <v>104.65</v>
      </c>
      <c r="E77" s="103">
        <v>104.99</v>
      </c>
      <c r="F77" s="104">
        <v>358080</v>
      </c>
      <c r="G77" s="112">
        <f t="shared" si="2"/>
        <v>8.2589071353116328E-3</v>
      </c>
      <c r="I77" s="105">
        <v>45804</v>
      </c>
      <c r="J77" s="85">
        <v>118533.69</v>
      </c>
      <c r="K77" s="85">
        <v>118807.92</v>
      </c>
      <c r="L77" s="85">
        <v>118143.67</v>
      </c>
      <c r="M77" s="85">
        <v>118332.9</v>
      </c>
      <c r="N77" s="123">
        <v>414609442</v>
      </c>
      <c r="O77" s="112">
        <f t="shared" si="3"/>
        <v>9.4551633413719749E-4</v>
      </c>
    </row>
    <row r="78" spans="1:15">
      <c r="A78" s="121">
        <v>45803</v>
      </c>
      <c r="B78" s="103">
        <v>105</v>
      </c>
      <c r="C78" s="103">
        <v>105.75</v>
      </c>
      <c r="D78" s="103">
        <v>103</v>
      </c>
      <c r="E78" s="103">
        <v>104.13</v>
      </c>
      <c r="F78" s="104">
        <v>925714</v>
      </c>
      <c r="G78" s="112">
        <f t="shared" si="2"/>
        <v>-4.1160220994475138E-2</v>
      </c>
      <c r="I78" s="105">
        <v>45803</v>
      </c>
      <c r="J78" s="85">
        <v>119211.88</v>
      </c>
      <c r="K78" s="85">
        <v>119290.94</v>
      </c>
      <c r="L78" s="85">
        <v>118150.27</v>
      </c>
      <c r="M78" s="85">
        <v>118221.12</v>
      </c>
      <c r="N78" s="123">
        <v>350580876</v>
      </c>
      <c r="O78" s="112">
        <f t="shared" si="3"/>
        <v>-7.401597294166451E-3</v>
      </c>
    </row>
    <row r="79" spans="1:15">
      <c r="A79" s="121">
        <v>45800</v>
      </c>
      <c r="B79" s="103">
        <v>109.5</v>
      </c>
      <c r="C79" s="103">
        <v>109.5</v>
      </c>
      <c r="D79" s="103">
        <v>108</v>
      </c>
      <c r="E79" s="103">
        <v>108.6</v>
      </c>
      <c r="F79" s="104">
        <v>555706</v>
      </c>
      <c r="G79" s="112">
        <f t="shared" si="2"/>
        <v>-5.2934507717798951E-2</v>
      </c>
      <c r="I79" s="105">
        <v>45800</v>
      </c>
      <c r="J79" s="85">
        <v>119214.78</v>
      </c>
      <c r="K79" s="85">
        <v>119542.51</v>
      </c>
      <c r="L79" s="85">
        <v>118665.25</v>
      </c>
      <c r="M79" s="85">
        <v>119102.67</v>
      </c>
      <c r="N79" s="123">
        <v>99798806</v>
      </c>
      <c r="O79" s="112">
        <f t="shared" si="3"/>
        <v>-4.2273365413081354E-4</v>
      </c>
    </row>
    <row r="80" spans="1:15">
      <c r="A80" s="121">
        <v>45799</v>
      </c>
      <c r="B80" s="103">
        <v>114</v>
      </c>
      <c r="C80" s="103">
        <v>116</v>
      </c>
      <c r="D80" s="103">
        <v>114</v>
      </c>
      <c r="E80" s="103">
        <v>114.67</v>
      </c>
      <c r="F80" s="104">
        <v>396401</v>
      </c>
      <c r="G80" s="112">
        <f t="shared" si="2"/>
        <v>-6.4980072777681697E-3</v>
      </c>
      <c r="I80" s="105">
        <v>45799</v>
      </c>
      <c r="J80" s="85">
        <v>120234.81</v>
      </c>
      <c r="K80" s="85">
        <v>120699.17</v>
      </c>
      <c r="L80" s="85">
        <v>119062.03</v>
      </c>
      <c r="M80" s="85">
        <v>119153.04</v>
      </c>
      <c r="N80" s="123">
        <v>223284427</v>
      </c>
      <c r="O80" s="112">
        <f t="shared" si="3"/>
        <v>-6.4904576739462927E-3</v>
      </c>
    </row>
    <row r="81" spans="1:15">
      <c r="A81" s="121">
        <v>45798</v>
      </c>
      <c r="B81" s="103">
        <v>117</v>
      </c>
      <c r="C81" s="103">
        <v>117</v>
      </c>
      <c r="D81" s="103">
        <v>114.85</v>
      </c>
      <c r="E81" s="103">
        <v>115.42</v>
      </c>
      <c r="F81" s="104">
        <v>4070863</v>
      </c>
      <c r="G81" s="112">
        <f t="shared" si="2"/>
        <v>5.8387799564270093E-3</v>
      </c>
      <c r="I81" s="105">
        <v>45798</v>
      </c>
      <c r="J81" s="85">
        <v>119239.34</v>
      </c>
      <c r="K81" s="85">
        <v>120106.21</v>
      </c>
      <c r="L81" s="85">
        <v>119128.38</v>
      </c>
      <c r="M81" s="85">
        <v>119931.45</v>
      </c>
      <c r="N81" s="123">
        <v>280861353</v>
      </c>
      <c r="O81" s="112">
        <f t="shared" si="3"/>
        <v>8.071958976262561E-3</v>
      </c>
    </row>
    <row r="82" spans="1:15">
      <c r="A82" s="121">
        <v>45797</v>
      </c>
      <c r="B82" s="103">
        <v>113.77</v>
      </c>
      <c r="C82" s="103">
        <v>116</v>
      </c>
      <c r="D82" s="103">
        <v>113.77</v>
      </c>
      <c r="E82" s="103">
        <v>114.75</v>
      </c>
      <c r="F82" s="104">
        <v>3552299</v>
      </c>
      <c r="G82" s="112">
        <f t="shared" si="2"/>
        <v>3.789797395079586E-2</v>
      </c>
      <c r="I82" s="105">
        <v>45797</v>
      </c>
      <c r="J82" s="85">
        <v>119891.16</v>
      </c>
      <c r="K82" s="85">
        <v>119900.37</v>
      </c>
      <c r="L82" s="85">
        <v>118527.09</v>
      </c>
      <c r="M82" s="85">
        <v>118971.12</v>
      </c>
      <c r="N82" s="123">
        <v>108105159</v>
      </c>
      <c r="O82" s="112">
        <f t="shared" si="3"/>
        <v>-6.0031098767705515E-3</v>
      </c>
    </row>
    <row r="83" spans="1:15">
      <c r="A83" s="121">
        <v>45796</v>
      </c>
      <c r="B83" s="103">
        <v>110</v>
      </c>
      <c r="C83" s="103">
        <v>111.48</v>
      </c>
      <c r="D83" s="103">
        <v>108.51</v>
      </c>
      <c r="E83" s="103">
        <v>110.56</v>
      </c>
      <c r="F83" s="104">
        <v>448399</v>
      </c>
      <c r="G83" s="112">
        <f t="shared" si="2"/>
        <v>1.9738055709278779E-2</v>
      </c>
      <c r="I83" s="105">
        <v>45796</v>
      </c>
      <c r="J83" s="85">
        <v>120164.33</v>
      </c>
      <c r="K83" s="85">
        <v>120285.54</v>
      </c>
      <c r="L83" s="85">
        <v>119250.67</v>
      </c>
      <c r="M83" s="85">
        <v>119689.63</v>
      </c>
      <c r="N83" s="123">
        <v>119529211</v>
      </c>
      <c r="O83" s="112">
        <f t="shared" si="3"/>
        <v>3.3840610973046026E-4</v>
      </c>
    </row>
    <row r="84" spans="1:15">
      <c r="A84" s="121">
        <v>45793</v>
      </c>
      <c r="B84" s="103">
        <v>110</v>
      </c>
      <c r="C84" s="103">
        <v>112.4</v>
      </c>
      <c r="D84" s="103">
        <v>105.35</v>
      </c>
      <c r="E84" s="103">
        <v>108.42</v>
      </c>
      <c r="F84" s="104">
        <v>3683386</v>
      </c>
      <c r="G84" s="112">
        <f t="shared" si="2"/>
        <v>-3.455031166518252E-2</v>
      </c>
      <c r="I84" s="105">
        <v>45793</v>
      </c>
      <c r="J84" s="85">
        <v>120292.95</v>
      </c>
      <c r="K84" s="85">
        <v>120506.17</v>
      </c>
      <c r="L84" s="85">
        <v>119541.15</v>
      </c>
      <c r="M84" s="85">
        <v>119649.14</v>
      </c>
      <c r="N84" s="123">
        <v>235070955</v>
      </c>
      <c r="O84" s="112">
        <f t="shared" si="3"/>
        <v>-2.6072442494455839E-3</v>
      </c>
    </row>
    <row r="85" spans="1:15">
      <c r="A85" s="121">
        <v>45792</v>
      </c>
      <c r="B85" s="103">
        <v>113.7</v>
      </c>
      <c r="C85" s="103">
        <v>113.7</v>
      </c>
      <c r="D85" s="103">
        <v>111.8</v>
      </c>
      <c r="E85" s="103">
        <v>112.3</v>
      </c>
      <c r="F85" s="104">
        <v>1221222</v>
      </c>
      <c r="G85" s="112">
        <f t="shared" si="2"/>
        <v>2.4100687315897762E-3</v>
      </c>
      <c r="I85" s="105">
        <v>45792</v>
      </c>
      <c r="J85" s="85">
        <v>118871.13</v>
      </c>
      <c r="K85" s="85">
        <v>119990.3</v>
      </c>
      <c r="L85" s="85">
        <v>118871.13</v>
      </c>
      <c r="M85" s="85">
        <v>119961.91</v>
      </c>
      <c r="N85" s="123">
        <v>310688621</v>
      </c>
      <c r="O85" s="112">
        <f t="shared" si="3"/>
        <v>1.2024901692744061E-2</v>
      </c>
    </row>
    <row r="86" spans="1:15">
      <c r="A86" s="121">
        <v>45791</v>
      </c>
      <c r="B86" s="103">
        <v>113.9</v>
      </c>
      <c r="C86" s="103">
        <v>113.97</v>
      </c>
      <c r="D86" s="103">
        <v>111.51</v>
      </c>
      <c r="E86" s="103">
        <v>112.03</v>
      </c>
      <c r="F86" s="104">
        <v>3150745</v>
      </c>
      <c r="G86" s="112">
        <f t="shared" si="2"/>
        <v>-2.5826086956521777E-2</v>
      </c>
      <c r="I86" s="105">
        <v>45791</v>
      </c>
      <c r="J86" s="85">
        <v>118950.61</v>
      </c>
      <c r="K86" s="85">
        <v>119460.54</v>
      </c>
      <c r="L86" s="85">
        <v>118148.64</v>
      </c>
      <c r="M86" s="85">
        <v>118536.52</v>
      </c>
      <c r="N86" s="123">
        <v>273518579</v>
      </c>
      <c r="O86" s="112">
        <f t="shared" si="3"/>
        <v>-3.31939345506016E-4</v>
      </c>
    </row>
    <row r="87" spans="1:15">
      <c r="A87" s="121">
        <v>45790</v>
      </c>
      <c r="B87" s="103">
        <v>114.64</v>
      </c>
      <c r="C87" s="103">
        <v>115.48</v>
      </c>
      <c r="D87" s="103">
        <v>113.1</v>
      </c>
      <c r="E87" s="103">
        <v>115</v>
      </c>
      <c r="F87" s="104">
        <v>563759</v>
      </c>
      <c r="G87" s="112">
        <f t="shared" si="2"/>
        <v>-2.3354564755838636E-2</v>
      </c>
      <c r="I87" s="105">
        <v>45790</v>
      </c>
      <c r="J87" s="85">
        <v>120067.12</v>
      </c>
      <c r="K87" s="85">
        <v>120067.12</v>
      </c>
      <c r="L87" s="85">
        <v>116859.93</v>
      </c>
      <c r="M87" s="85">
        <v>118575.88</v>
      </c>
      <c r="N87" s="123">
        <v>366254300</v>
      </c>
      <c r="O87" s="112">
        <f t="shared" si="3"/>
        <v>1.0896630309896072E-2</v>
      </c>
    </row>
    <row r="88" spans="1:15">
      <c r="A88" s="121">
        <v>45789</v>
      </c>
      <c r="B88" s="103">
        <v>119.3</v>
      </c>
      <c r="C88" s="103">
        <v>120.81</v>
      </c>
      <c r="D88" s="103">
        <v>117.27</v>
      </c>
      <c r="E88" s="103">
        <v>117.75</v>
      </c>
      <c r="F88" s="104">
        <v>1911765</v>
      </c>
      <c r="G88" s="112">
        <f t="shared" si="2"/>
        <v>1.1945685802681405E-2</v>
      </c>
      <c r="I88" s="105">
        <v>45789</v>
      </c>
      <c r="J88" s="85">
        <v>117104.11</v>
      </c>
      <c r="K88" s="85">
        <v>117327.78</v>
      </c>
      <c r="L88" s="85">
        <v>115794.37</v>
      </c>
      <c r="M88" s="85">
        <v>117297.73</v>
      </c>
      <c r="N88" s="123">
        <v>345348683</v>
      </c>
      <c r="O88" s="112">
        <f t="shared" si="3"/>
        <v>9.4454256571727679E-2</v>
      </c>
    </row>
    <row r="89" spans="1:15">
      <c r="A89" s="121">
        <v>45786</v>
      </c>
      <c r="B89" s="103">
        <v>117.25</v>
      </c>
      <c r="C89" s="103">
        <v>118</v>
      </c>
      <c r="D89" s="103">
        <v>116.01</v>
      </c>
      <c r="E89" s="103">
        <v>116.36</v>
      </c>
      <c r="F89" s="104">
        <v>573038</v>
      </c>
      <c r="G89" s="112">
        <f t="shared" si="2"/>
        <v>5.2699784017278262E-3</v>
      </c>
      <c r="I89" s="105">
        <v>45786</v>
      </c>
      <c r="J89" s="85">
        <v>103949.68</v>
      </c>
      <c r="K89" s="85">
        <v>107541.45</v>
      </c>
      <c r="L89" s="85">
        <v>1020.82</v>
      </c>
      <c r="M89" s="85">
        <v>107174.63</v>
      </c>
      <c r="N89" s="123">
        <v>238400592</v>
      </c>
      <c r="O89" s="112">
        <f t="shared" si="3"/>
        <v>3.5235510492402922E-2</v>
      </c>
    </row>
    <row r="90" spans="1:15">
      <c r="A90" s="121">
        <v>45785</v>
      </c>
      <c r="B90" s="103">
        <v>110.83</v>
      </c>
      <c r="C90" s="103">
        <v>116.5</v>
      </c>
      <c r="D90" s="103">
        <v>110.83</v>
      </c>
      <c r="E90" s="103">
        <v>115.75</v>
      </c>
      <c r="F90" s="104">
        <v>2877447</v>
      </c>
      <c r="G90" s="112">
        <f t="shared" si="2"/>
        <v>7.17592592592593E-2</v>
      </c>
      <c r="I90" s="105">
        <v>45785</v>
      </c>
      <c r="J90" s="85">
        <v>110842.45</v>
      </c>
      <c r="K90" s="85">
        <v>111881.02</v>
      </c>
      <c r="L90" s="85">
        <v>101598.9</v>
      </c>
      <c r="M90" s="85">
        <v>103526.81</v>
      </c>
      <c r="N90" s="123">
        <v>308031081</v>
      </c>
      <c r="O90" s="112">
        <f t="shared" si="3"/>
        <v>-5.892435002148011E-2</v>
      </c>
    </row>
    <row r="91" spans="1:15">
      <c r="A91" s="121">
        <v>45784</v>
      </c>
      <c r="B91" s="103">
        <v>116</v>
      </c>
      <c r="C91" s="103">
        <v>118.8</v>
      </c>
      <c r="D91" s="103">
        <v>107.25</v>
      </c>
      <c r="E91" s="103">
        <v>108</v>
      </c>
      <c r="F91" s="104">
        <v>5375214</v>
      </c>
      <c r="G91" s="112">
        <f t="shared" si="2"/>
        <v>-0.12607217996439557</v>
      </c>
      <c r="I91" s="105">
        <v>45784</v>
      </c>
      <c r="J91" s="85">
        <v>107007.67999999999</v>
      </c>
      <c r="K91" s="85">
        <v>112457.37</v>
      </c>
      <c r="L91" s="85">
        <v>107007.67999999999</v>
      </c>
      <c r="M91" s="85">
        <v>110009.02</v>
      </c>
      <c r="N91" s="123">
        <v>261520967</v>
      </c>
      <c r="O91" s="112">
        <f t="shared" si="3"/>
        <v>-3.1342141526919831E-2</v>
      </c>
    </row>
    <row r="92" spans="1:15">
      <c r="A92" s="121">
        <v>45783</v>
      </c>
      <c r="B92" s="103">
        <v>125.11</v>
      </c>
      <c r="C92" s="103">
        <v>126.5</v>
      </c>
      <c r="D92" s="103">
        <v>123</v>
      </c>
      <c r="E92" s="103">
        <v>123.58</v>
      </c>
      <c r="F92" s="104">
        <v>1659917</v>
      </c>
      <c r="G92" s="112">
        <f t="shared" si="2"/>
        <v>-7.548988114359112E-3</v>
      </c>
      <c r="I92" s="105">
        <v>45783</v>
      </c>
      <c r="J92" s="85">
        <v>114392.82</v>
      </c>
      <c r="K92" s="85">
        <v>115093.1</v>
      </c>
      <c r="L92" s="85">
        <v>113418.52</v>
      </c>
      <c r="M92" s="85">
        <v>113568.5</v>
      </c>
      <c r="N92" s="123">
        <v>165326851</v>
      </c>
      <c r="O92" s="112">
        <f t="shared" si="3"/>
        <v>-4.6776474044372129E-3</v>
      </c>
    </row>
    <row r="93" spans="1:15">
      <c r="A93" s="121">
        <v>45782</v>
      </c>
      <c r="B93" s="103">
        <v>129.47</v>
      </c>
      <c r="C93" s="103">
        <v>132.5</v>
      </c>
      <c r="D93" s="103">
        <v>121.16</v>
      </c>
      <c r="E93" s="103">
        <v>124.52</v>
      </c>
      <c r="F93" s="104">
        <v>24836375</v>
      </c>
      <c r="G93" s="112">
        <f t="shared" si="2"/>
        <v>0.11667115056945554</v>
      </c>
      <c r="I93" s="105">
        <v>45782</v>
      </c>
      <c r="J93" s="85">
        <v>114385.61</v>
      </c>
      <c r="K93" s="85">
        <v>114552.2</v>
      </c>
      <c r="L93" s="85">
        <v>113077.66</v>
      </c>
      <c r="M93" s="85">
        <v>114102.23</v>
      </c>
      <c r="N93" s="123">
        <v>153678242</v>
      </c>
      <c r="O93" s="112">
        <f t="shared" si="3"/>
        <v>-1.0252911279107213E-4</v>
      </c>
    </row>
    <row r="94" spans="1:15">
      <c r="A94" s="121">
        <v>45779</v>
      </c>
      <c r="B94" s="103">
        <v>112</v>
      </c>
      <c r="C94" s="103">
        <v>113.1</v>
      </c>
      <c r="D94" s="103">
        <v>111.16</v>
      </c>
      <c r="E94" s="103">
        <v>111.51</v>
      </c>
      <c r="F94" s="104">
        <v>1225196</v>
      </c>
      <c r="G94" s="112">
        <f t="shared" si="2"/>
        <v>2.2746033201871185E-2</v>
      </c>
      <c r="I94" s="105">
        <v>45779</v>
      </c>
      <c r="J94" s="85">
        <v>112820.07</v>
      </c>
      <c r="K94" s="85">
        <v>114546.87</v>
      </c>
      <c r="L94" s="85">
        <v>112820.07</v>
      </c>
      <c r="M94" s="85">
        <v>114113.93</v>
      </c>
      <c r="N94" s="123">
        <v>192302344</v>
      </c>
      <c r="O94" s="112">
        <f t="shared" si="3"/>
        <v>2.503768866677536E-2</v>
      </c>
    </row>
    <row r="95" spans="1:15">
      <c r="A95" s="121">
        <v>45777</v>
      </c>
      <c r="B95" s="103">
        <v>102.25</v>
      </c>
      <c r="C95" s="103">
        <v>109.03</v>
      </c>
      <c r="D95" s="103">
        <v>102.1</v>
      </c>
      <c r="E95" s="103">
        <v>109.03</v>
      </c>
      <c r="F95" s="104">
        <v>10967560</v>
      </c>
      <c r="G95" s="112">
        <f t="shared" si="2"/>
        <v>0.13066473089287567</v>
      </c>
      <c r="I95" s="105">
        <v>45777</v>
      </c>
      <c r="J95" s="85">
        <v>114066.12</v>
      </c>
      <c r="K95" s="85">
        <v>114066.12</v>
      </c>
      <c r="L95" s="85">
        <v>110631.18</v>
      </c>
      <c r="M95" s="85">
        <v>111326.57</v>
      </c>
      <c r="N95" s="123">
        <v>254486803</v>
      </c>
      <c r="O95" s="112">
        <f t="shared" si="3"/>
        <v>-3.0865697856521823E-2</v>
      </c>
    </row>
    <row r="96" spans="1:15">
      <c r="A96" s="121">
        <v>45776</v>
      </c>
      <c r="B96" s="103">
        <v>97.5</v>
      </c>
      <c r="C96" s="103">
        <v>97.69</v>
      </c>
      <c r="D96" s="103">
        <v>95.82</v>
      </c>
      <c r="E96" s="103">
        <v>96.43</v>
      </c>
      <c r="F96" s="104">
        <v>405567</v>
      </c>
      <c r="G96" s="112">
        <f t="shared" si="2"/>
        <v>-1.0568438333675267E-2</v>
      </c>
      <c r="I96" s="105">
        <v>45776</v>
      </c>
      <c r="J96" s="85">
        <v>113869.97</v>
      </c>
      <c r="K96" s="85">
        <v>115040.58</v>
      </c>
      <c r="L96" s="85">
        <v>112935.56</v>
      </c>
      <c r="M96" s="85">
        <v>114872.18</v>
      </c>
      <c r="N96" s="123">
        <v>185491217</v>
      </c>
      <c r="O96" s="112">
        <f t="shared" si="3"/>
        <v>7.0862034350920311E-3</v>
      </c>
    </row>
    <row r="97" spans="1:15">
      <c r="A97" s="121">
        <v>45775</v>
      </c>
      <c r="B97" s="103">
        <v>96.9</v>
      </c>
      <c r="C97" s="103">
        <v>98</v>
      </c>
      <c r="D97" s="103">
        <v>96.9</v>
      </c>
      <c r="E97" s="103">
        <v>97.46</v>
      </c>
      <c r="F97" s="104">
        <v>2758478</v>
      </c>
      <c r="G97" s="112">
        <f t="shared" si="2"/>
        <v>3.3948652662847412E-2</v>
      </c>
      <c r="I97" s="105">
        <v>45775</v>
      </c>
      <c r="J97" s="85">
        <v>116305.69</v>
      </c>
      <c r="K97" s="85">
        <v>116658.94</v>
      </c>
      <c r="L97" s="85">
        <v>113867.8</v>
      </c>
      <c r="M97" s="85">
        <v>114063.9</v>
      </c>
      <c r="N97" s="123">
        <v>190220474</v>
      </c>
      <c r="O97" s="112">
        <f t="shared" si="3"/>
        <v>-1.2171542679641267E-2</v>
      </c>
    </row>
    <row r="98" spans="1:15">
      <c r="A98" s="121">
        <v>45772</v>
      </c>
      <c r="B98" s="103">
        <v>93.98</v>
      </c>
      <c r="C98" s="103">
        <v>94.94</v>
      </c>
      <c r="D98" s="103">
        <v>93.3</v>
      </c>
      <c r="E98" s="103">
        <v>94.26</v>
      </c>
      <c r="F98" s="104">
        <v>1160523</v>
      </c>
      <c r="G98" s="112">
        <f t="shared" si="2"/>
        <v>6.0838936919629383E-3</v>
      </c>
      <c r="I98" s="105">
        <v>45772</v>
      </c>
      <c r="J98" s="85">
        <v>115099.64</v>
      </c>
      <c r="K98" s="85">
        <v>115844.88</v>
      </c>
      <c r="L98" s="85">
        <v>113716.6</v>
      </c>
      <c r="M98" s="85">
        <v>115469.34</v>
      </c>
      <c r="N98" s="123">
        <v>213616413</v>
      </c>
      <c r="O98" s="112">
        <f t="shared" si="3"/>
        <v>3.908283277463287E-3</v>
      </c>
    </row>
    <row r="99" spans="1:15">
      <c r="A99" s="121">
        <v>45771</v>
      </c>
      <c r="B99" s="103">
        <v>95.99</v>
      </c>
      <c r="C99" s="103">
        <v>95.99</v>
      </c>
      <c r="D99" s="103">
        <v>92.8</v>
      </c>
      <c r="E99" s="103">
        <v>93.69</v>
      </c>
      <c r="F99" s="104">
        <v>8100776</v>
      </c>
      <c r="G99" s="112">
        <f t="shared" si="2"/>
        <v>-5.6875377491443557E-2</v>
      </c>
      <c r="I99" s="105">
        <v>45771</v>
      </c>
      <c r="J99" s="85">
        <v>115269.3</v>
      </c>
      <c r="K99" s="85">
        <v>116568.13</v>
      </c>
      <c r="L99" s="85">
        <v>114661.2</v>
      </c>
      <c r="M99" s="85">
        <v>115019.81</v>
      </c>
      <c r="N99" s="123">
        <v>197691308</v>
      </c>
      <c r="O99" s="112">
        <f t="shared" si="3"/>
        <v>-1.8821143475337476E-2</v>
      </c>
    </row>
    <row r="100" spans="1:15">
      <c r="A100" s="121">
        <v>45770</v>
      </c>
      <c r="B100" s="103">
        <v>101</v>
      </c>
      <c r="C100" s="103">
        <v>101</v>
      </c>
      <c r="D100" s="103">
        <v>99.13</v>
      </c>
      <c r="E100" s="103">
        <v>99.34</v>
      </c>
      <c r="F100" s="104">
        <v>1445805</v>
      </c>
      <c r="G100" s="112">
        <f t="shared" si="2"/>
        <v>2.3385185948284759E-2</v>
      </c>
      <c r="I100" s="105">
        <v>45770</v>
      </c>
      <c r="J100" s="85">
        <v>118422.67</v>
      </c>
      <c r="K100" s="85">
        <v>118811.24</v>
      </c>
      <c r="L100" s="85">
        <v>117120.39</v>
      </c>
      <c r="M100" s="85">
        <v>117226.14</v>
      </c>
      <c r="N100" s="123">
        <v>242524907</v>
      </c>
      <c r="O100" s="112">
        <f t="shared" si="3"/>
        <v>-1.0168086136704058E-2</v>
      </c>
    </row>
    <row r="101" spans="1:15">
      <c r="A101" s="121">
        <v>45769</v>
      </c>
      <c r="B101" s="103">
        <v>98.7</v>
      </c>
      <c r="C101" s="103">
        <v>99.75</v>
      </c>
      <c r="D101" s="103">
        <v>96.9</v>
      </c>
      <c r="E101" s="103">
        <v>97.07</v>
      </c>
      <c r="F101" s="104">
        <v>2261851</v>
      </c>
      <c r="G101" s="112">
        <f t="shared" si="2"/>
        <v>3.4089698519228495E-2</v>
      </c>
      <c r="I101" s="105">
        <v>45769</v>
      </c>
      <c r="J101" s="85">
        <v>118546.16</v>
      </c>
      <c r="K101" s="85">
        <v>119217.19</v>
      </c>
      <c r="L101" s="85">
        <v>118161.67</v>
      </c>
      <c r="M101" s="85">
        <v>118430.35</v>
      </c>
      <c r="N101" s="123">
        <v>353612522</v>
      </c>
      <c r="O101" s="112">
        <f t="shared" si="3"/>
        <v>3.9676177517478095E-4</v>
      </c>
    </row>
    <row r="102" spans="1:15">
      <c r="A102" s="121">
        <v>45768</v>
      </c>
      <c r="B102" s="103">
        <v>94.13</v>
      </c>
      <c r="C102" s="103">
        <v>95.3</v>
      </c>
      <c r="D102" s="103">
        <v>93</v>
      </c>
      <c r="E102" s="103">
        <v>93.87</v>
      </c>
      <c r="F102" s="104">
        <v>884303</v>
      </c>
      <c r="G102" s="112">
        <f t="shared" si="2"/>
        <v>4.2652449183605556E-2</v>
      </c>
      <c r="I102" s="105">
        <v>45768</v>
      </c>
      <c r="J102" s="85">
        <v>117712.7</v>
      </c>
      <c r="K102" s="85">
        <v>118827.47</v>
      </c>
      <c r="L102" s="85">
        <v>117712.7</v>
      </c>
      <c r="M102" s="85">
        <v>118383.38</v>
      </c>
      <c r="N102" s="123">
        <v>367336343</v>
      </c>
      <c r="O102" s="112">
        <f t="shared" si="3"/>
        <v>9.1019453682110729E-3</v>
      </c>
    </row>
    <row r="103" spans="1:15">
      <c r="A103" s="121">
        <v>45765</v>
      </c>
      <c r="B103" s="103">
        <v>90.52</v>
      </c>
      <c r="C103" s="103">
        <v>91.38</v>
      </c>
      <c r="D103" s="103">
        <v>89.56</v>
      </c>
      <c r="E103" s="103">
        <v>90.03</v>
      </c>
      <c r="F103" s="104">
        <v>473314</v>
      </c>
      <c r="G103" s="112">
        <f t="shared" si="2"/>
        <v>-4.6595361643545496E-2</v>
      </c>
      <c r="I103" s="105">
        <v>45765</v>
      </c>
      <c r="J103" s="85">
        <v>117360.59</v>
      </c>
      <c r="K103" s="85">
        <v>117888.13</v>
      </c>
      <c r="L103" s="85">
        <v>116759.07</v>
      </c>
      <c r="M103" s="85">
        <v>117315.58</v>
      </c>
      <c r="N103" s="123">
        <v>212790465</v>
      </c>
      <c r="O103" s="112">
        <f t="shared" si="3"/>
        <v>3.5453036253798587E-3</v>
      </c>
    </row>
    <row r="104" spans="1:15">
      <c r="A104" s="121">
        <v>45764</v>
      </c>
      <c r="B104" s="103">
        <v>96.6</v>
      </c>
      <c r="C104" s="103">
        <v>96.6</v>
      </c>
      <c r="D104" s="103">
        <v>94.25</v>
      </c>
      <c r="E104" s="103">
        <v>94.43</v>
      </c>
      <c r="F104" s="104">
        <v>2349224</v>
      </c>
      <c r="G104" s="112">
        <f t="shared" si="2"/>
        <v>-1.1721611721611569E-2</v>
      </c>
      <c r="I104" s="105">
        <v>45764</v>
      </c>
      <c r="J104" s="85">
        <v>116073.7</v>
      </c>
      <c r="K104" s="85">
        <v>117216.02</v>
      </c>
      <c r="L104" s="85">
        <v>115818.07</v>
      </c>
      <c r="M104" s="85">
        <v>116901.13</v>
      </c>
      <c r="N104" s="123">
        <v>221692195</v>
      </c>
      <c r="O104" s="112">
        <f t="shared" si="3"/>
        <v>7.5937703897859254E-3</v>
      </c>
    </row>
    <row r="105" spans="1:15">
      <c r="A105" s="121">
        <v>45763</v>
      </c>
      <c r="B105" s="103">
        <v>95.97</v>
      </c>
      <c r="C105" s="103">
        <v>96.5</v>
      </c>
      <c r="D105" s="103">
        <v>94.95</v>
      </c>
      <c r="E105" s="103">
        <v>95.55</v>
      </c>
      <c r="F105" s="104">
        <v>889980</v>
      </c>
      <c r="G105" s="112">
        <f t="shared" si="2"/>
        <v>-1.2607212979229065E-2</v>
      </c>
      <c r="I105" s="105">
        <v>45763</v>
      </c>
      <c r="J105" s="85">
        <v>117187.51</v>
      </c>
      <c r="K105" s="85">
        <v>117424.04</v>
      </c>
      <c r="L105" s="85">
        <v>115776.11</v>
      </c>
      <c r="M105" s="85">
        <v>116020.1</v>
      </c>
      <c r="N105" s="123">
        <v>248065960</v>
      </c>
      <c r="O105" s="112">
        <f t="shared" si="3"/>
        <v>-6.4688226554371342E-3</v>
      </c>
    </row>
    <row r="106" spans="1:15">
      <c r="A106" s="121">
        <v>45762</v>
      </c>
      <c r="B106" s="103">
        <v>97.5</v>
      </c>
      <c r="C106" s="103">
        <v>98.4</v>
      </c>
      <c r="D106" s="103">
        <v>96.3</v>
      </c>
      <c r="E106" s="103">
        <v>96.77</v>
      </c>
      <c r="F106" s="104">
        <v>2835937</v>
      </c>
      <c r="G106" s="112">
        <f t="shared" si="2"/>
        <v>4.7762433807496674E-3</v>
      </c>
      <c r="I106" s="105">
        <v>45762</v>
      </c>
      <c r="J106" s="85">
        <v>116739.02</v>
      </c>
      <c r="K106" s="85">
        <v>117362.22</v>
      </c>
      <c r="L106" s="85">
        <v>116645.68</v>
      </c>
      <c r="M106" s="85">
        <v>116775.5</v>
      </c>
      <c r="N106" s="123">
        <v>215168112</v>
      </c>
      <c r="O106" s="112">
        <f t="shared" si="3"/>
        <v>3.31188161047824E-3</v>
      </c>
    </row>
    <row r="107" spans="1:15">
      <c r="A107" s="121">
        <v>45761</v>
      </c>
      <c r="B107" s="103">
        <v>97</v>
      </c>
      <c r="C107" s="103">
        <v>98.99</v>
      </c>
      <c r="D107" s="103">
        <v>95.5</v>
      </c>
      <c r="E107" s="103">
        <v>96.31</v>
      </c>
      <c r="F107" s="104">
        <v>347198</v>
      </c>
      <c r="G107" s="112">
        <f t="shared" si="2"/>
        <v>-2.6483372081269607E-2</v>
      </c>
      <c r="I107" s="105">
        <v>45761</v>
      </c>
      <c r="J107" s="85">
        <v>115448.73</v>
      </c>
      <c r="K107" s="85">
        <v>116494.19</v>
      </c>
      <c r="L107" s="85">
        <v>115246.2</v>
      </c>
      <c r="M107" s="85">
        <v>116390.03</v>
      </c>
      <c r="N107" s="123">
        <v>273769374</v>
      </c>
      <c r="O107" s="112">
        <f t="shared" si="3"/>
        <v>1.5266148127109691E-2</v>
      </c>
    </row>
    <row r="108" spans="1:15">
      <c r="A108" s="121">
        <v>45758</v>
      </c>
      <c r="B108" s="103">
        <v>99.06</v>
      </c>
      <c r="C108" s="103">
        <v>99.88</v>
      </c>
      <c r="D108" s="103">
        <v>98.25</v>
      </c>
      <c r="E108" s="103">
        <v>98.93</v>
      </c>
      <c r="F108" s="104">
        <v>808711</v>
      </c>
      <c r="G108" s="112">
        <f t="shared" si="2"/>
        <v>3.7540584415585165E-3</v>
      </c>
      <c r="I108" s="105">
        <v>45758</v>
      </c>
      <c r="J108" s="85">
        <v>114853.33</v>
      </c>
      <c r="K108" s="85">
        <v>115937.38</v>
      </c>
      <c r="L108" s="85">
        <v>115937.38</v>
      </c>
      <c r="M108" s="85">
        <v>114639.92</v>
      </c>
      <c r="N108" s="123">
        <v>250710000</v>
      </c>
      <c r="O108" s="112">
        <f t="shared" si="3"/>
        <v>-1.2838787953938113E-2</v>
      </c>
    </row>
    <row r="109" spans="1:15">
      <c r="A109" s="121">
        <v>45757</v>
      </c>
      <c r="B109" s="103">
        <v>100.19</v>
      </c>
      <c r="C109" s="103">
        <v>101</v>
      </c>
      <c r="D109" s="103">
        <v>98.01</v>
      </c>
      <c r="E109" s="103">
        <v>98.56</v>
      </c>
      <c r="F109" s="104">
        <v>1396037</v>
      </c>
      <c r="G109" s="112">
        <f t="shared" si="2"/>
        <v>-3.4766428361570845E-2</v>
      </c>
      <c r="I109" s="105">
        <v>45757</v>
      </c>
      <c r="J109" s="85">
        <v>116189.21</v>
      </c>
      <c r="K109" s="85">
        <v>117094.15</v>
      </c>
      <c r="L109" s="85">
        <v>117484.17</v>
      </c>
      <c r="M109" s="85">
        <v>116130.9</v>
      </c>
      <c r="N109" s="123">
        <v>391050000</v>
      </c>
      <c r="O109" s="112">
        <f t="shared" si="3"/>
        <v>2.8694899854718736E-2</v>
      </c>
    </row>
    <row r="110" spans="1:15">
      <c r="A110" s="121">
        <v>45756</v>
      </c>
      <c r="B110" s="103">
        <v>103</v>
      </c>
      <c r="C110" s="103">
        <v>103.45</v>
      </c>
      <c r="D110" s="103">
        <v>101.82</v>
      </c>
      <c r="E110" s="103">
        <v>102.11</v>
      </c>
      <c r="F110" s="104">
        <v>866453</v>
      </c>
      <c r="G110" s="112">
        <f t="shared" si="2"/>
        <v>-1.7511786779563221E-2</v>
      </c>
      <c r="I110" s="105">
        <v>45756</v>
      </c>
      <c r="J110" s="85">
        <v>114153.16</v>
      </c>
      <c r="K110" s="85">
        <v>115092.12</v>
      </c>
      <c r="L110" s="85">
        <v>115092.12</v>
      </c>
      <c r="M110" s="85">
        <v>112891.49</v>
      </c>
      <c r="N110" s="123">
        <v>267600000</v>
      </c>
      <c r="O110" s="112">
        <f t="shared" si="3"/>
        <v>-2.3099679640805837E-2</v>
      </c>
    </row>
    <row r="111" spans="1:15">
      <c r="A111" s="121">
        <v>45755</v>
      </c>
      <c r="B111" s="103">
        <v>104</v>
      </c>
      <c r="C111" s="103">
        <v>105.7</v>
      </c>
      <c r="D111" s="103">
        <v>103.1</v>
      </c>
      <c r="E111" s="103">
        <v>103.93</v>
      </c>
      <c r="F111" s="104">
        <v>3719995</v>
      </c>
      <c r="G111" s="112">
        <f t="shared" si="2"/>
        <v>6.8579066419905521E-2</v>
      </c>
      <c r="I111" s="105">
        <v>45755</v>
      </c>
      <c r="J111" s="85">
        <v>115532.43</v>
      </c>
      <c r="K111" s="85">
        <v>115800.77</v>
      </c>
      <c r="L111" s="85">
        <v>116692.29</v>
      </c>
      <c r="M111" s="85">
        <v>115560.91</v>
      </c>
      <c r="N111" s="123">
        <v>338100000</v>
      </c>
      <c r="O111" s="112">
        <f t="shared" si="3"/>
        <v>5.6690709939686279E-3</v>
      </c>
    </row>
    <row r="112" spans="1:15">
      <c r="A112" s="121">
        <v>45754</v>
      </c>
      <c r="B112" s="103">
        <v>91.5</v>
      </c>
      <c r="C112" s="103">
        <v>97.58</v>
      </c>
      <c r="D112" s="103">
        <v>91.5</v>
      </c>
      <c r="E112" s="103">
        <v>97.26</v>
      </c>
      <c r="F112" s="104">
        <v>14673538</v>
      </c>
      <c r="G112" s="112">
        <f t="shared" si="2"/>
        <v>0.22385805964514915</v>
      </c>
      <c r="I112" s="105">
        <v>45754</v>
      </c>
      <c r="J112" s="85">
        <v>117601.62</v>
      </c>
      <c r="K112" s="85">
        <v>117601.97</v>
      </c>
      <c r="L112" s="85">
        <v>110103.97</v>
      </c>
      <c r="M112" s="85">
        <v>114909.48</v>
      </c>
      <c r="N112" s="123">
        <v>389416218</v>
      </c>
      <c r="O112" s="112">
        <f t="shared" si="3"/>
        <v>-3.268057707081462E-2</v>
      </c>
    </row>
    <row r="113" spans="1:15">
      <c r="A113" s="121">
        <v>45751</v>
      </c>
      <c r="B113" s="103">
        <v>79.89</v>
      </c>
      <c r="C113" s="103">
        <v>79.98</v>
      </c>
      <c r="D113" s="103">
        <v>79.06</v>
      </c>
      <c r="E113" s="103">
        <v>79.47</v>
      </c>
      <c r="F113" s="104">
        <v>2161744</v>
      </c>
      <c r="G113" s="112">
        <f t="shared" si="2"/>
        <v>1.3518683841346801E-2</v>
      </c>
      <c r="I113" s="105">
        <v>45751</v>
      </c>
      <c r="J113" s="85">
        <v>119155.22</v>
      </c>
      <c r="K113" s="85">
        <v>120796.67</v>
      </c>
      <c r="L113" s="85">
        <v>118718.26</v>
      </c>
      <c r="M113" s="85">
        <v>118791.66</v>
      </c>
      <c r="N113" s="123">
        <v>313410539</v>
      </c>
      <c r="O113" s="112">
        <f t="shared" si="3"/>
        <v>-1.231312654959793E-3</v>
      </c>
    </row>
    <row r="114" spans="1:15">
      <c r="A114" s="121">
        <v>45750</v>
      </c>
      <c r="B114" s="103">
        <v>78.41</v>
      </c>
      <c r="C114" s="103">
        <v>79.69</v>
      </c>
      <c r="D114" s="103">
        <v>78.040000000000006</v>
      </c>
      <c r="E114" s="103">
        <v>78.41</v>
      </c>
      <c r="F114" s="104">
        <v>3165527</v>
      </c>
      <c r="G114" s="112">
        <f t="shared" si="2"/>
        <v>3.1985670419651946E-3</v>
      </c>
      <c r="I114" s="105">
        <v>45750</v>
      </c>
      <c r="J114" s="85">
        <v>117873.59</v>
      </c>
      <c r="K114" s="85">
        <v>119179.45</v>
      </c>
      <c r="L114" s="85">
        <v>117508.07</v>
      </c>
      <c r="M114" s="85">
        <v>118938.11</v>
      </c>
      <c r="N114" s="123">
        <v>201028266</v>
      </c>
      <c r="O114" s="112">
        <f t="shared" si="3"/>
        <v>9.6036101160255072E-3</v>
      </c>
    </row>
    <row r="115" spans="1:15">
      <c r="A115" s="121">
        <v>45743</v>
      </c>
      <c r="B115" s="103">
        <v>79.010000000000005</v>
      </c>
      <c r="C115" s="103">
        <v>79.400000000000006</v>
      </c>
      <c r="D115" s="103">
        <v>77.86</v>
      </c>
      <c r="E115" s="103">
        <v>78.16</v>
      </c>
      <c r="F115" s="104">
        <v>1306297</v>
      </c>
      <c r="G115" s="112">
        <f t="shared" si="2"/>
        <v>-5.9773623298995382E-3</v>
      </c>
      <c r="I115" s="105">
        <v>45743</v>
      </c>
      <c r="J115" s="85">
        <v>118037.69</v>
      </c>
      <c r="K115" s="85">
        <v>118147.25</v>
      </c>
      <c r="L115" s="85">
        <v>117551.42</v>
      </c>
      <c r="M115" s="85">
        <v>117806.74</v>
      </c>
      <c r="N115" s="123">
        <v>193474026</v>
      </c>
      <c r="O115" s="112">
        <f t="shared" si="3"/>
        <v>2.9234376060038869E-4</v>
      </c>
    </row>
    <row r="116" spans="1:15">
      <c r="A116" s="121">
        <v>45742</v>
      </c>
      <c r="B116" s="103">
        <v>78.5</v>
      </c>
      <c r="C116" s="103">
        <v>78.72</v>
      </c>
      <c r="D116" s="103">
        <v>76.75</v>
      </c>
      <c r="E116" s="103">
        <v>78.63</v>
      </c>
      <c r="F116" s="104">
        <v>6303547</v>
      </c>
      <c r="G116" s="112">
        <f t="shared" si="2"/>
        <v>0.12441012441012433</v>
      </c>
      <c r="I116" s="105">
        <v>45742</v>
      </c>
      <c r="J116" s="85">
        <v>117935.8</v>
      </c>
      <c r="K116" s="85">
        <v>118220.88</v>
      </c>
      <c r="L116" s="85">
        <v>117178.23</v>
      </c>
      <c r="M116" s="85">
        <v>117772.31</v>
      </c>
      <c r="N116" s="123">
        <v>231392631</v>
      </c>
      <c r="O116" s="112">
        <f t="shared" si="3"/>
        <v>9.7669479245867663E-3</v>
      </c>
    </row>
    <row r="117" spans="1:15">
      <c r="A117" s="121">
        <v>45741</v>
      </c>
      <c r="B117" s="103">
        <v>69.02</v>
      </c>
      <c r="C117" s="103">
        <v>70.489999999999995</v>
      </c>
      <c r="D117" s="103">
        <v>69.02</v>
      </c>
      <c r="E117" s="103">
        <v>69.930000000000007</v>
      </c>
      <c r="F117" s="104">
        <v>2341449</v>
      </c>
      <c r="G117" s="112">
        <f t="shared" si="2"/>
        <v>2.0131291028446574E-2</v>
      </c>
      <c r="I117" s="105">
        <v>45741</v>
      </c>
      <c r="J117" s="85">
        <v>116375.7</v>
      </c>
      <c r="K117" s="85">
        <v>116904.55</v>
      </c>
      <c r="L117" s="85">
        <v>115877.88</v>
      </c>
      <c r="M117" s="85">
        <v>116633.16</v>
      </c>
      <c r="N117" s="123">
        <v>158061529</v>
      </c>
      <c r="O117" s="112">
        <f t="shared" si="3"/>
        <v>1.6621490176627063E-3</v>
      </c>
    </row>
    <row r="118" spans="1:15">
      <c r="A118" s="121">
        <v>45740</v>
      </c>
      <c r="B118" s="103">
        <v>68.489999999999995</v>
      </c>
      <c r="C118" s="103">
        <v>69.400000000000006</v>
      </c>
      <c r="D118" s="103">
        <v>67.900000000000006</v>
      </c>
      <c r="E118" s="103">
        <v>68.55</v>
      </c>
      <c r="F118" s="104">
        <v>4276332</v>
      </c>
      <c r="G118" s="112">
        <f t="shared" si="2"/>
        <v>1.9179304192684876E-2</v>
      </c>
      <c r="I118" s="105">
        <v>45740</v>
      </c>
      <c r="J118" s="85">
        <v>118797.7</v>
      </c>
      <c r="K118" s="85">
        <v>118797.7</v>
      </c>
      <c r="L118" s="85">
        <v>116257.51</v>
      </c>
      <c r="M118" s="85">
        <v>116439.62</v>
      </c>
      <c r="N118" s="123">
        <v>167106163</v>
      </c>
      <c r="O118" s="112">
        <f t="shared" si="3"/>
        <v>-1.6907407218223036E-2</v>
      </c>
    </row>
    <row r="119" spans="1:15">
      <c r="A119" s="121">
        <v>45737</v>
      </c>
      <c r="B119" s="103">
        <v>69.7</v>
      </c>
      <c r="C119" s="103">
        <v>69.7</v>
      </c>
      <c r="D119" s="103">
        <v>66</v>
      </c>
      <c r="E119" s="103">
        <v>67.260000000000005</v>
      </c>
      <c r="F119" s="104">
        <v>3481955</v>
      </c>
      <c r="G119" s="112">
        <f t="shared" si="2"/>
        <v>-6.570356994026938E-2</v>
      </c>
      <c r="I119" s="105">
        <v>45737</v>
      </c>
      <c r="J119" s="85">
        <v>119078.91</v>
      </c>
      <c r="K119" s="85">
        <v>119405.91</v>
      </c>
      <c r="L119" s="85">
        <v>118334.39999999999</v>
      </c>
      <c r="M119" s="85">
        <v>118442.17</v>
      </c>
      <c r="N119" s="123">
        <v>172210026</v>
      </c>
      <c r="O119" s="112">
        <f t="shared" si="3"/>
        <v>-2.7582776324313052E-3</v>
      </c>
    </row>
    <row r="120" spans="1:15">
      <c r="A120" s="121">
        <v>45736</v>
      </c>
      <c r="B120" s="103">
        <v>72.7</v>
      </c>
      <c r="C120" s="103">
        <v>72.73</v>
      </c>
      <c r="D120" s="103">
        <v>71.7</v>
      </c>
      <c r="E120" s="103">
        <v>71.989999999999995</v>
      </c>
      <c r="F120" s="104">
        <v>601559</v>
      </c>
      <c r="G120" s="112">
        <f t="shared" si="2"/>
        <v>-2.6323081185926078E-3</v>
      </c>
      <c r="I120" s="105">
        <v>45736</v>
      </c>
      <c r="J120" s="85">
        <v>118525</v>
      </c>
      <c r="K120" s="85">
        <v>119421.81</v>
      </c>
      <c r="L120" s="85">
        <v>118444.03</v>
      </c>
      <c r="M120" s="85">
        <v>118769.77</v>
      </c>
      <c r="N120" s="123">
        <v>401602764</v>
      </c>
      <c r="O120" s="112">
        <f t="shared" si="3"/>
        <v>6.7451291394495794E-3</v>
      </c>
    </row>
    <row r="121" spans="1:15">
      <c r="A121" s="121">
        <v>45735</v>
      </c>
      <c r="B121" s="103">
        <v>72.900000000000006</v>
      </c>
      <c r="C121" s="103">
        <v>72.900000000000006</v>
      </c>
      <c r="D121" s="103">
        <v>71.599999999999994</v>
      </c>
      <c r="E121" s="103">
        <v>72.180000000000007</v>
      </c>
      <c r="F121" s="104">
        <v>3047216</v>
      </c>
      <c r="G121" s="112">
        <f t="shared" si="2"/>
        <v>-8.3802720153867138E-3</v>
      </c>
      <c r="I121" s="105">
        <v>45735</v>
      </c>
      <c r="J121" s="85">
        <v>117198.35</v>
      </c>
      <c r="K121" s="85">
        <v>118243.63</v>
      </c>
      <c r="L121" s="85">
        <v>116882.8</v>
      </c>
      <c r="M121" s="85">
        <v>117974.02</v>
      </c>
      <c r="N121" s="123">
        <v>301111478</v>
      </c>
      <c r="O121" s="112">
        <f t="shared" si="3"/>
        <v>8.3155635558609386E-3</v>
      </c>
    </row>
    <row r="122" spans="1:15">
      <c r="A122" s="121">
        <v>45734</v>
      </c>
      <c r="B122" s="103">
        <v>73</v>
      </c>
      <c r="C122" s="103">
        <v>73.2</v>
      </c>
      <c r="D122" s="103">
        <v>72.7</v>
      </c>
      <c r="E122" s="103">
        <v>72.790000000000006</v>
      </c>
      <c r="F122" s="104">
        <v>965778</v>
      </c>
      <c r="G122" s="112">
        <f t="shared" si="2"/>
        <v>-4.2407660738712494E-3</v>
      </c>
      <c r="I122" s="105">
        <v>45734</v>
      </c>
      <c r="J122" s="85">
        <v>116657.45</v>
      </c>
      <c r="K122" s="85">
        <v>117202.09</v>
      </c>
      <c r="L122" s="85">
        <v>116490.82</v>
      </c>
      <c r="M122" s="85">
        <v>117001.09</v>
      </c>
      <c r="N122" s="123">
        <v>274472128</v>
      </c>
      <c r="O122" s="112">
        <f t="shared" si="3"/>
        <v>6.8976146989847553E-3</v>
      </c>
    </row>
    <row r="123" spans="1:15">
      <c r="A123" s="121">
        <v>45733</v>
      </c>
      <c r="B123" s="103">
        <v>73</v>
      </c>
      <c r="C123" s="103">
        <v>73.5</v>
      </c>
      <c r="D123" s="103">
        <v>71.819999999999993</v>
      </c>
      <c r="E123" s="103">
        <v>73.099999999999994</v>
      </c>
      <c r="F123" s="104">
        <v>1434377</v>
      </c>
      <c r="G123" s="112">
        <f t="shared" si="2"/>
        <v>-4.3569279078895851E-2</v>
      </c>
      <c r="I123" s="105">
        <v>45733</v>
      </c>
      <c r="J123" s="85">
        <v>115957.88</v>
      </c>
      <c r="K123" s="85">
        <v>116626.82</v>
      </c>
      <c r="L123" s="85">
        <v>115883.22</v>
      </c>
      <c r="M123" s="85">
        <v>116199.59</v>
      </c>
      <c r="N123" s="123">
        <v>286473754</v>
      </c>
      <c r="O123" s="112">
        <f t="shared" si="3"/>
        <v>5.7421849575058914E-3</v>
      </c>
    </row>
    <row r="124" spans="1:15">
      <c r="A124" s="121">
        <v>45730</v>
      </c>
      <c r="B124" s="103">
        <v>77.010000000000005</v>
      </c>
      <c r="C124" s="103">
        <v>77.790000000000006</v>
      </c>
      <c r="D124" s="103">
        <v>76.010000000000005</v>
      </c>
      <c r="E124" s="103">
        <v>76.430000000000007</v>
      </c>
      <c r="F124" s="104">
        <v>2168371</v>
      </c>
      <c r="G124" s="112">
        <f t="shared" si="2"/>
        <v>-1.937387734154461E-2</v>
      </c>
      <c r="I124" s="105">
        <v>45730</v>
      </c>
      <c r="J124" s="85">
        <v>115705.29</v>
      </c>
      <c r="K124" s="85">
        <v>115730.98</v>
      </c>
      <c r="L124" s="85">
        <v>115162.69</v>
      </c>
      <c r="M124" s="85">
        <v>115536.16</v>
      </c>
      <c r="N124" s="123">
        <v>205477652</v>
      </c>
      <c r="O124" s="112">
        <f t="shared" si="3"/>
        <v>3.8397233293103739E-3</v>
      </c>
    </row>
    <row r="125" spans="1:15">
      <c r="A125" s="121">
        <v>45729</v>
      </c>
      <c r="B125" s="103">
        <v>73.900000000000006</v>
      </c>
      <c r="C125" s="103">
        <v>77.94</v>
      </c>
      <c r="D125" s="103">
        <v>73.900000000000006</v>
      </c>
      <c r="E125" s="103">
        <v>77.94</v>
      </c>
      <c r="F125" s="104">
        <v>6029192</v>
      </c>
      <c r="G125" s="112">
        <f t="shared" si="2"/>
        <v>4.3932493972676179E-2</v>
      </c>
      <c r="I125" s="105">
        <v>45729</v>
      </c>
      <c r="J125" s="85">
        <v>114429.93</v>
      </c>
      <c r="K125" s="85">
        <v>115247.39</v>
      </c>
      <c r="L125" s="85">
        <v>114429.93</v>
      </c>
      <c r="M125" s="85">
        <v>115094.23</v>
      </c>
      <c r="N125" s="123">
        <v>210932828</v>
      </c>
      <c r="O125" s="112">
        <f t="shared" si="3"/>
        <v>8.850455009105973E-3</v>
      </c>
    </row>
    <row r="126" spans="1:15">
      <c r="A126" s="121">
        <v>45728</v>
      </c>
      <c r="B126" s="103">
        <v>75</v>
      </c>
      <c r="C126" s="103">
        <v>76.5</v>
      </c>
      <c r="D126" s="103">
        <v>74.3</v>
      </c>
      <c r="E126" s="103">
        <v>74.66</v>
      </c>
      <c r="F126" s="104">
        <v>1410115</v>
      </c>
      <c r="G126" s="112">
        <f t="shared" si="2"/>
        <v>5.5218855218854834E-3</v>
      </c>
      <c r="I126" s="105">
        <v>45728</v>
      </c>
      <c r="J126" s="85">
        <v>114503.39</v>
      </c>
      <c r="K126" s="85">
        <v>114661.88</v>
      </c>
      <c r="L126" s="85">
        <v>114001.5</v>
      </c>
      <c r="M126" s="85">
        <v>114084.53</v>
      </c>
      <c r="N126" s="123">
        <v>128435379</v>
      </c>
      <c r="O126" s="112">
        <f t="shared" si="3"/>
        <v>-8.1557117351771513E-4</v>
      </c>
    </row>
    <row r="127" spans="1:15">
      <c r="A127" s="121">
        <v>45727</v>
      </c>
      <c r="B127" s="103">
        <v>73.680000000000007</v>
      </c>
      <c r="C127" s="103">
        <v>74.989999999999995</v>
      </c>
      <c r="D127" s="103">
        <v>73.680000000000007</v>
      </c>
      <c r="E127" s="103">
        <v>74.25</v>
      </c>
      <c r="F127" s="104">
        <v>986977</v>
      </c>
      <c r="G127" s="112">
        <f t="shared" si="2"/>
        <v>1.6427104722792629E-2</v>
      </c>
      <c r="I127" s="105">
        <v>45727</v>
      </c>
      <c r="J127" s="85">
        <v>114180.09</v>
      </c>
      <c r="K127" s="85">
        <v>114486.19</v>
      </c>
      <c r="L127" s="85">
        <v>113610.31</v>
      </c>
      <c r="M127" s="85">
        <v>114177.65</v>
      </c>
      <c r="N127" s="123">
        <v>171981292</v>
      </c>
      <c r="O127" s="112">
        <f t="shared" si="3"/>
        <v>-1.562571869648921E-3</v>
      </c>
    </row>
    <row r="128" spans="1:15">
      <c r="A128" s="121">
        <v>45726</v>
      </c>
      <c r="B128" s="103">
        <v>74.69</v>
      </c>
      <c r="C128" s="103">
        <v>74.69</v>
      </c>
      <c r="D128" s="103">
        <v>72.5</v>
      </c>
      <c r="E128" s="103">
        <v>73.05</v>
      </c>
      <c r="F128" s="104">
        <v>744066</v>
      </c>
      <c r="G128" s="112">
        <f t="shared" si="2"/>
        <v>-1.2305168170632097E-3</v>
      </c>
      <c r="I128" s="105">
        <v>45726</v>
      </c>
      <c r="J128" s="85">
        <v>114432.8</v>
      </c>
      <c r="K128" s="85">
        <v>115048.41</v>
      </c>
      <c r="L128" s="85">
        <v>114152.31</v>
      </c>
      <c r="M128" s="85">
        <v>114356.34</v>
      </c>
      <c r="N128" s="123">
        <v>165905814</v>
      </c>
      <c r="O128" s="112">
        <f t="shared" si="3"/>
        <v>-3.7019654683112524E-4</v>
      </c>
    </row>
    <row r="129" spans="1:15">
      <c r="A129" s="121">
        <v>45723</v>
      </c>
      <c r="B129" s="103">
        <v>74</v>
      </c>
      <c r="C129" s="103">
        <v>74.25</v>
      </c>
      <c r="D129" s="103">
        <v>71.150000000000006</v>
      </c>
      <c r="E129" s="103">
        <v>73.14</v>
      </c>
      <c r="F129" s="104">
        <v>323949</v>
      </c>
      <c r="G129" s="112">
        <f t="shared" si="2"/>
        <v>2.6045236463330124E-3</v>
      </c>
      <c r="I129" s="105">
        <v>45723</v>
      </c>
      <c r="J129" s="85">
        <v>114169.19</v>
      </c>
      <c r="K129" s="85">
        <v>114721.58</v>
      </c>
      <c r="L129" s="85">
        <v>114169.19</v>
      </c>
      <c r="M129" s="85">
        <v>114398.69</v>
      </c>
      <c r="N129" s="123">
        <v>233228483</v>
      </c>
      <c r="O129" s="112">
        <f t="shared" si="3"/>
        <v>-2.7414463395963873E-3</v>
      </c>
    </row>
    <row r="130" spans="1:15">
      <c r="A130" s="121">
        <v>45722</v>
      </c>
      <c r="B130" s="103">
        <v>72.989999999999995</v>
      </c>
      <c r="C130" s="103">
        <v>73.88</v>
      </c>
      <c r="D130" s="103">
        <v>71.510000000000005</v>
      </c>
      <c r="E130" s="103">
        <v>72.95</v>
      </c>
      <c r="F130" s="104">
        <v>804895</v>
      </c>
      <c r="G130" s="112">
        <f t="shared" si="2"/>
        <v>-8.9661730743104684E-3</v>
      </c>
      <c r="I130" s="105">
        <v>45722</v>
      </c>
      <c r="J130" s="85">
        <v>112506.52</v>
      </c>
      <c r="K130" s="85">
        <v>113871.21</v>
      </c>
      <c r="L130" s="85">
        <v>112446</v>
      </c>
      <c r="M130" s="85">
        <v>114713.17</v>
      </c>
      <c r="N130" s="123">
        <v>240888386</v>
      </c>
      <c r="O130" s="112">
        <f t="shared" si="3"/>
        <v>2.1909377467623337E-2</v>
      </c>
    </row>
    <row r="131" spans="1:15">
      <c r="A131" s="121">
        <v>45721</v>
      </c>
      <c r="B131" s="103">
        <v>74</v>
      </c>
      <c r="C131" s="103">
        <v>75.3</v>
      </c>
      <c r="D131" s="103">
        <v>73.5</v>
      </c>
      <c r="E131" s="103">
        <v>73.61</v>
      </c>
      <c r="F131" s="104">
        <v>1059164</v>
      </c>
      <c r="G131" s="112">
        <f t="shared" si="2"/>
        <v>-2.5291313559322015E-2</v>
      </c>
      <c r="I131" s="105">
        <v>45721</v>
      </c>
      <c r="J131" s="85">
        <v>112952.94</v>
      </c>
      <c r="K131" s="85">
        <v>113327.12</v>
      </c>
      <c r="L131" s="85">
        <v>112146.09</v>
      </c>
      <c r="M131" s="85">
        <v>112253.75999999999</v>
      </c>
      <c r="N131" s="123">
        <v>152194164</v>
      </c>
      <c r="O131" s="112">
        <f t="shared" si="3"/>
        <v>-4.3464034693174725E-3</v>
      </c>
    </row>
    <row r="132" spans="1:15">
      <c r="A132" s="121">
        <v>45720</v>
      </c>
      <c r="B132" s="103">
        <v>75.989999999999995</v>
      </c>
      <c r="C132" s="103">
        <v>76.489999999999995</v>
      </c>
      <c r="D132" s="103">
        <v>75.11</v>
      </c>
      <c r="E132" s="103">
        <v>75.52</v>
      </c>
      <c r="F132" s="104">
        <v>953150</v>
      </c>
      <c r="G132" s="112">
        <f t="shared" ref="G132:G195" si="4">E132/E133-1</f>
        <v>5.3718431700850999E-2</v>
      </c>
      <c r="I132" s="105">
        <v>45720</v>
      </c>
      <c r="J132" s="85">
        <v>112106.68</v>
      </c>
      <c r="K132" s="85">
        <v>112877.01</v>
      </c>
      <c r="L132" s="85">
        <v>111717.17</v>
      </c>
      <c r="M132" s="85">
        <v>112743.79</v>
      </c>
      <c r="N132" s="123">
        <v>101172112</v>
      </c>
      <c r="O132" s="112">
        <f t="shared" ref="O132:O195" si="5">M132/M133-1</f>
        <v>6.7589167588202326E-3</v>
      </c>
    </row>
    <row r="133" spans="1:15">
      <c r="A133" s="121">
        <v>45719</v>
      </c>
      <c r="B133" s="103">
        <v>72.34</v>
      </c>
      <c r="C133" s="103">
        <v>72.34</v>
      </c>
      <c r="D133" s="103">
        <v>70.03</v>
      </c>
      <c r="E133" s="103">
        <v>71.67</v>
      </c>
      <c r="F133" s="104">
        <v>1149366</v>
      </c>
      <c r="G133" s="112">
        <f t="shared" si="4"/>
        <v>2.1813515825491958E-2</v>
      </c>
      <c r="I133" s="105">
        <v>45719</v>
      </c>
      <c r="J133" s="85">
        <v>113498.57</v>
      </c>
      <c r="K133" s="85">
        <v>113591.83</v>
      </c>
      <c r="L133" s="85">
        <v>111829.14</v>
      </c>
      <c r="M133" s="85">
        <v>111986.88</v>
      </c>
      <c r="N133" s="123">
        <v>107997918</v>
      </c>
      <c r="O133" s="112">
        <f t="shared" si="5"/>
        <v>-1.1167871623250392E-2</v>
      </c>
    </row>
    <row r="134" spans="1:15">
      <c r="A134" s="121">
        <v>45716</v>
      </c>
      <c r="B134" s="103">
        <v>69.989999999999995</v>
      </c>
      <c r="C134" s="103">
        <v>70.59</v>
      </c>
      <c r="D134" s="103">
        <v>69</v>
      </c>
      <c r="E134" s="103">
        <v>70.14</v>
      </c>
      <c r="F134" s="104">
        <v>6188576</v>
      </c>
      <c r="G134" s="112">
        <f t="shared" si="4"/>
        <v>-6.3926331242493029E-2</v>
      </c>
      <c r="I134" s="105">
        <v>45716</v>
      </c>
      <c r="J134" s="85">
        <v>113890.67</v>
      </c>
      <c r="K134" s="85">
        <v>114265.97</v>
      </c>
      <c r="L134" s="85">
        <v>113201.84</v>
      </c>
      <c r="M134" s="85">
        <v>113251.66</v>
      </c>
      <c r="N134" s="123">
        <v>231447579</v>
      </c>
      <c r="O134" s="112">
        <f t="shared" si="5"/>
        <v>-4.6811379074266357E-3</v>
      </c>
    </row>
    <row r="135" spans="1:15">
      <c r="A135" s="121">
        <v>45715</v>
      </c>
      <c r="B135" s="103">
        <v>77</v>
      </c>
      <c r="C135" s="103">
        <v>77</v>
      </c>
      <c r="D135" s="103">
        <v>74.319999999999993</v>
      </c>
      <c r="E135" s="103">
        <v>74.930000000000007</v>
      </c>
      <c r="F135" s="104">
        <v>399563</v>
      </c>
      <c r="G135" s="112">
        <f t="shared" si="4"/>
        <v>-4.9714648065947831E-2</v>
      </c>
      <c r="I135" s="105">
        <v>45715</v>
      </c>
      <c r="J135" s="85">
        <v>114045.12</v>
      </c>
      <c r="K135" s="85">
        <v>114456.91</v>
      </c>
      <c r="L135" s="85">
        <v>113729.52</v>
      </c>
      <c r="M135" s="85">
        <v>113784.3</v>
      </c>
      <c r="N135" s="123">
        <v>207286392</v>
      </c>
      <c r="O135" s="112">
        <f t="shared" si="5"/>
        <v>-6.8521351049233292E-4</v>
      </c>
    </row>
    <row r="136" spans="1:15">
      <c r="A136" s="121">
        <v>45714</v>
      </c>
      <c r="B136" s="103">
        <v>78.98</v>
      </c>
      <c r="C136" s="103">
        <v>80</v>
      </c>
      <c r="D136" s="103">
        <v>77.900000000000006</v>
      </c>
      <c r="E136" s="103">
        <v>78.849999999999994</v>
      </c>
      <c r="F136" s="104">
        <v>2463261</v>
      </c>
      <c r="G136" s="112">
        <f t="shared" si="4"/>
        <v>6.8138715795177385E-2</v>
      </c>
      <c r="I136" s="105">
        <v>45714</v>
      </c>
      <c r="J136" s="85">
        <v>114580.39</v>
      </c>
      <c r="K136" s="85">
        <v>114762.92</v>
      </c>
      <c r="L136" s="85">
        <v>113849.93</v>
      </c>
      <c r="M136" s="85">
        <v>113862.32</v>
      </c>
      <c r="N136" s="123">
        <v>333205128</v>
      </c>
      <c r="O136" s="112">
        <f t="shared" si="5"/>
        <v>-5.813072217747739E-3</v>
      </c>
    </row>
    <row r="137" spans="1:15">
      <c r="A137" s="121">
        <v>45713</v>
      </c>
      <c r="B137" s="103">
        <v>73.650000000000006</v>
      </c>
      <c r="C137" s="103">
        <v>74.75</v>
      </c>
      <c r="D137" s="103">
        <v>72.989999999999995</v>
      </c>
      <c r="E137" s="103">
        <v>73.819999999999993</v>
      </c>
      <c r="F137" s="104">
        <v>2747178</v>
      </c>
      <c r="G137" s="112">
        <f t="shared" si="4"/>
        <v>1.0402408978921418E-2</v>
      </c>
      <c r="I137" s="105">
        <v>45713</v>
      </c>
      <c r="J137" s="85">
        <v>114900.46</v>
      </c>
      <c r="K137" s="85">
        <v>115889.60000000001</v>
      </c>
      <c r="L137" s="85">
        <v>114178.55</v>
      </c>
      <c r="M137" s="85">
        <v>114528.08</v>
      </c>
      <c r="N137" s="123">
        <v>290832594</v>
      </c>
      <c r="O137" s="112">
        <f t="shared" si="5"/>
        <v>1.7316524694721558E-3</v>
      </c>
    </row>
    <row r="138" spans="1:15">
      <c r="A138" s="121">
        <v>45712</v>
      </c>
      <c r="B138" s="103">
        <v>75.95</v>
      </c>
      <c r="C138" s="103">
        <v>76.5</v>
      </c>
      <c r="D138" s="103">
        <v>72.25</v>
      </c>
      <c r="E138" s="103">
        <v>73.06</v>
      </c>
      <c r="F138" s="104">
        <v>1799948</v>
      </c>
      <c r="G138" s="112">
        <f t="shared" si="4"/>
        <v>0.1837329876863254</v>
      </c>
      <c r="I138" s="105">
        <v>45712</v>
      </c>
      <c r="J138" s="85">
        <v>112700.1</v>
      </c>
      <c r="K138" s="85">
        <v>114573.67</v>
      </c>
      <c r="L138" s="85">
        <v>111857.33</v>
      </c>
      <c r="M138" s="85">
        <v>114330.1</v>
      </c>
      <c r="N138" s="123">
        <v>214098048</v>
      </c>
      <c r="O138" s="112">
        <f t="shared" si="5"/>
        <v>1.3556359863345246E-2</v>
      </c>
    </row>
    <row r="139" spans="1:15">
      <c r="A139" s="121">
        <v>45709</v>
      </c>
      <c r="B139" s="103">
        <v>62</v>
      </c>
      <c r="C139" s="103">
        <v>62</v>
      </c>
      <c r="D139" s="103">
        <v>60.52</v>
      </c>
      <c r="E139" s="103">
        <v>61.72</v>
      </c>
      <c r="F139" s="104">
        <v>239903</v>
      </c>
      <c r="G139" s="112">
        <f t="shared" si="4"/>
        <v>-8.0945442771573894E-4</v>
      </c>
      <c r="I139" s="105">
        <v>45709</v>
      </c>
      <c r="J139" s="85">
        <v>114441.58</v>
      </c>
      <c r="K139" s="85">
        <v>114444.01</v>
      </c>
      <c r="L139" s="85">
        <v>112813.87</v>
      </c>
      <c r="M139" s="85">
        <v>112800.93</v>
      </c>
      <c r="N139" s="123">
        <v>216945811</v>
      </c>
      <c r="O139" s="112">
        <f t="shared" si="5"/>
        <v>-8.2488747278312013E-3</v>
      </c>
    </row>
    <row r="140" spans="1:15">
      <c r="A140" s="121">
        <v>45708</v>
      </c>
      <c r="B140" s="103">
        <v>63.15</v>
      </c>
      <c r="C140" s="103">
        <v>63.15</v>
      </c>
      <c r="D140" s="103">
        <v>60.99</v>
      </c>
      <c r="E140" s="103">
        <v>61.77</v>
      </c>
      <c r="F140" s="104">
        <v>134620</v>
      </c>
      <c r="G140" s="112">
        <f t="shared" si="4"/>
        <v>-3.5489595095983262E-3</v>
      </c>
      <c r="I140" s="105">
        <v>45708</v>
      </c>
      <c r="J140" s="85">
        <v>113601.95</v>
      </c>
      <c r="K140" s="85">
        <v>114202.13</v>
      </c>
      <c r="L140" s="85">
        <v>113525.89</v>
      </c>
      <c r="M140" s="85">
        <v>113739.15</v>
      </c>
      <c r="N140" s="123">
        <v>507746834</v>
      </c>
      <c r="O140" s="112">
        <f t="shared" si="5"/>
        <v>3.5001896465427507E-3</v>
      </c>
    </row>
    <row r="141" spans="1:15">
      <c r="A141" s="121">
        <v>45707</v>
      </c>
      <c r="B141" s="103">
        <v>63.75</v>
      </c>
      <c r="C141" s="103">
        <v>63.75</v>
      </c>
      <c r="D141" s="103">
        <v>61.8</v>
      </c>
      <c r="E141" s="103">
        <v>61.99</v>
      </c>
      <c r="F141" s="104">
        <v>280281</v>
      </c>
      <c r="G141" s="112">
        <f t="shared" si="4"/>
        <v>-3.9063711052550021E-2</v>
      </c>
      <c r="I141" s="105">
        <v>45707</v>
      </c>
      <c r="J141" s="85">
        <v>113465.7</v>
      </c>
      <c r="K141" s="85">
        <v>114029.75</v>
      </c>
      <c r="L141" s="85">
        <v>113060.25</v>
      </c>
      <c r="M141" s="85">
        <v>113342.43</v>
      </c>
      <c r="N141" s="123">
        <v>461111152</v>
      </c>
      <c r="O141" s="112">
        <f t="shared" si="5"/>
        <v>2.2456754433055615E-3</v>
      </c>
    </row>
    <row r="142" spans="1:15">
      <c r="A142" s="121">
        <v>45706</v>
      </c>
      <c r="B142" s="103">
        <v>63.4</v>
      </c>
      <c r="C142" s="103">
        <v>64.849999999999994</v>
      </c>
      <c r="D142" s="103">
        <v>62.75</v>
      </c>
      <c r="E142" s="103">
        <v>64.510000000000005</v>
      </c>
      <c r="F142" s="104">
        <v>958977</v>
      </c>
      <c r="G142" s="112">
        <f t="shared" si="4"/>
        <v>2.919591576260383E-2</v>
      </c>
      <c r="I142" s="105">
        <v>45706</v>
      </c>
      <c r="J142" s="85">
        <v>112023.31</v>
      </c>
      <c r="K142" s="85">
        <v>113252.54</v>
      </c>
      <c r="L142" s="85">
        <v>111642.02</v>
      </c>
      <c r="M142" s="85">
        <v>113088.47</v>
      </c>
      <c r="N142" s="123">
        <v>348503860</v>
      </c>
      <c r="O142" s="112">
        <f t="shared" si="5"/>
        <v>1.2035954117433079E-2</v>
      </c>
    </row>
    <row r="143" spans="1:15">
      <c r="A143" s="121">
        <v>45705</v>
      </c>
      <c r="B143" s="103">
        <v>63.43</v>
      </c>
      <c r="C143" s="103">
        <v>63.43</v>
      </c>
      <c r="D143" s="103">
        <v>62.22</v>
      </c>
      <c r="E143" s="103">
        <v>62.68</v>
      </c>
      <c r="F143" s="104">
        <v>413864</v>
      </c>
      <c r="G143" s="112">
        <f t="shared" si="4"/>
        <v>-3.2268025320364324E-2</v>
      </c>
      <c r="I143" s="105">
        <v>45705</v>
      </c>
      <c r="J143" s="85">
        <v>112283.82</v>
      </c>
      <c r="K143" s="85">
        <v>112524.8</v>
      </c>
      <c r="L143" s="85">
        <v>111513.66</v>
      </c>
      <c r="M143" s="85">
        <v>111743.53</v>
      </c>
      <c r="N143" s="123">
        <v>295854722</v>
      </c>
      <c r="O143" s="112">
        <f t="shared" si="5"/>
        <v>-3.0491066222873009E-3</v>
      </c>
    </row>
    <row r="144" spans="1:15">
      <c r="A144" s="121">
        <v>45702</v>
      </c>
      <c r="B144" s="103">
        <v>65</v>
      </c>
      <c r="C144" s="103">
        <v>66</v>
      </c>
      <c r="D144" s="103">
        <v>64.02</v>
      </c>
      <c r="E144" s="103">
        <v>64.77</v>
      </c>
      <c r="F144" s="104">
        <v>705108</v>
      </c>
      <c r="G144" s="112">
        <f t="shared" si="4"/>
        <v>-1.2200701540338477E-2</v>
      </c>
      <c r="I144" s="105">
        <v>45702</v>
      </c>
      <c r="J144" s="85">
        <v>112085.29</v>
      </c>
      <c r="K144" s="85">
        <v>113482.12</v>
      </c>
      <c r="L144" s="85">
        <v>111861.56</v>
      </c>
      <c r="M144" s="85">
        <v>112085.29</v>
      </c>
      <c r="N144" s="123">
        <v>238575951</v>
      </c>
      <c r="O144" s="112">
        <f t="shared" si="5"/>
        <v>-4.2533998637399595E-3</v>
      </c>
    </row>
    <row r="145" spans="1:15">
      <c r="A145" s="121">
        <v>45701</v>
      </c>
      <c r="B145" s="103">
        <v>66.290000000000006</v>
      </c>
      <c r="C145" s="103">
        <v>66.349999999999994</v>
      </c>
      <c r="D145" s="103">
        <v>65.2</v>
      </c>
      <c r="E145" s="103">
        <v>65.569999999999993</v>
      </c>
      <c r="F145" s="104">
        <v>5508129</v>
      </c>
      <c r="G145" s="112">
        <f t="shared" si="4"/>
        <v>-3.2605488344644606E-2</v>
      </c>
      <c r="I145" s="105">
        <v>45701</v>
      </c>
      <c r="J145" s="85">
        <v>113023.23</v>
      </c>
      <c r="K145" s="85">
        <v>113477.71</v>
      </c>
      <c r="L145" s="85">
        <v>112540.12</v>
      </c>
      <c r="M145" s="85">
        <v>112564.07</v>
      </c>
      <c r="N145" s="123">
        <v>289287556</v>
      </c>
      <c r="O145" s="112">
        <f t="shared" si="5"/>
        <v>-3.1955742633622553E-3</v>
      </c>
    </row>
    <row r="146" spans="1:15">
      <c r="A146" s="121">
        <v>45700</v>
      </c>
      <c r="B146" s="103">
        <v>69.45</v>
      </c>
      <c r="C146" s="103">
        <v>69.45</v>
      </c>
      <c r="D146" s="103">
        <v>67.599999999999994</v>
      </c>
      <c r="E146" s="103">
        <v>67.78</v>
      </c>
      <c r="F146" s="104">
        <v>876686</v>
      </c>
      <c r="G146" s="112">
        <f t="shared" si="4"/>
        <v>1.2548550941141379E-2</v>
      </c>
      <c r="I146" s="105">
        <v>45700</v>
      </c>
      <c r="J146" s="85">
        <v>113302.67</v>
      </c>
      <c r="K146" s="85">
        <v>113436.71</v>
      </c>
      <c r="L146" s="85">
        <v>112621.14</v>
      </c>
      <c r="M146" s="85">
        <v>112924.93</v>
      </c>
      <c r="N146" s="123">
        <v>399903877</v>
      </c>
      <c r="O146" s="112">
        <f t="shared" si="5"/>
        <v>-7.5612523380608199E-4</v>
      </c>
    </row>
    <row r="147" spans="1:15">
      <c r="A147" s="121">
        <v>45699</v>
      </c>
      <c r="B147" s="103">
        <v>69</v>
      </c>
      <c r="C147" s="103">
        <v>69</v>
      </c>
      <c r="D147" s="103">
        <v>66.5</v>
      </c>
      <c r="E147" s="103">
        <v>66.94</v>
      </c>
      <c r="F147" s="104">
        <v>712640</v>
      </c>
      <c r="G147" s="112">
        <f t="shared" si="4"/>
        <v>-1.7466607955379354E-2</v>
      </c>
      <c r="I147" s="105">
        <v>45699</v>
      </c>
      <c r="J147" s="85">
        <v>111834.2</v>
      </c>
      <c r="K147" s="85">
        <v>113233.4</v>
      </c>
      <c r="L147" s="85">
        <v>111834.2</v>
      </c>
      <c r="M147" s="85">
        <v>113010.38</v>
      </c>
      <c r="N147" s="123">
        <v>244301553</v>
      </c>
      <c r="O147" s="112">
        <f t="shared" si="5"/>
        <v>1.4656580170798517E-2</v>
      </c>
    </row>
    <row r="148" spans="1:15">
      <c r="A148" s="121">
        <v>45698</v>
      </c>
      <c r="B148" s="103">
        <v>67.52</v>
      </c>
      <c r="C148" s="103">
        <v>68.489999999999995</v>
      </c>
      <c r="D148" s="103">
        <v>67.5</v>
      </c>
      <c r="E148" s="103">
        <v>68.13</v>
      </c>
      <c r="F148" s="104">
        <v>265275</v>
      </c>
      <c r="G148" s="112">
        <f t="shared" si="4"/>
        <v>-2.560068649885594E-2</v>
      </c>
      <c r="I148" s="105">
        <v>45698</v>
      </c>
      <c r="J148" s="85">
        <v>110610.81</v>
      </c>
      <c r="K148" s="85">
        <v>111622.72</v>
      </c>
      <c r="L148" s="85">
        <v>109948.57</v>
      </c>
      <c r="M148" s="85">
        <v>111377.96</v>
      </c>
      <c r="N148" s="123">
        <v>193051971</v>
      </c>
      <c r="O148" s="112">
        <f t="shared" si="5"/>
        <v>9.5631071437281001E-3</v>
      </c>
    </row>
    <row r="149" spans="1:15">
      <c r="A149" s="121">
        <v>45695</v>
      </c>
      <c r="B149" s="103">
        <v>69.489999999999995</v>
      </c>
      <c r="C149" s="103">
        <v>70.290000000000006</v>
      </c>
      <c r="D149" s="103">
        <v>69.099999999999994</v>
      </c>
      <c r="E149" s="103">
        <v>69.92</v>
      </c>
      <c r="F149" s="104">
        <v>575232</v>
      </c>
      <c r="G149" s="112">
        <f t="shared" si="4"/>
        <v>3.3555062823355408E-2</v>
      </c>
      <c r="I149" s="105">
        <v>45695</v>
      </c>
      <c r="J149" s="85">
        <v>110575.27</v>
      </c>
      <c r="K149" s="85">
        <v>110905.09</v>
      </c>
      <c r="L149" s="85">
        <v>109686.52</v>
      </c>
      <c r="M149" s="85">
        <v>110322.93</v>
      </c>
      <c r="N149" s="123">
        <v>129185285</v>
      </c>
      <c r="O149" s="112">
        <f t="shared" si="5"/>
        <v>1.9736873120823617E-4</v>
      </c>
    </row>
    <row r="150" spans="1:15">
      <c r="A150" s="121">
        <v>45694</v>
      </c>
      <c r="B150" s="103">
        <v>67.510000000000005</v>
      </c>
      <c r="C150" s="103">
        <v>68.67</v>
      </c>
      <c r="D150" s="103">
        <v>67.510000000000005</v>
      </c>
      <c r="E150" s="103">
        <v>67.650000000000006</v>
      </c>
      <c r="F150" s="104">
        <v>302170</v>
      </c>
      <c r="G150" s="112">
        <f t="shared" si="4"/>
        <v>-2.9829341746737348E-2</v>
      </c>
      <c r="I150" s="105">
        <v>45694</v>
      </c>
      <c r="J150" s="85">
        <v>112053.95</v>
      </c>
      <c r="K150" s="85">
        <v>112234.15</v>
      </c>
      <c r="L150" s="85">
        <v>109405.53</v>
      </c>
      <c r="M150" s="85">
        <v>110301.16</v>
      </c>
      <c r="N150" s="123">
        <v>174301204</v>
      </c>
      <c r="O150" s="112">
        <f t="shared" si="5"/>
        <v>-1.4599673490186982E-2</v>
      </c>
    </row>
    <row r="151" spans="1:15">
      <c r="A151" s="121">
        <v>45692</v>
      </c>
      <c r="B151" s="103">
        <v>69.5</v>
      </c>
      <c r="C151" s="103">
        <v>70.48</v>
      </c>
      <c r="D151" s="103">
        <v>69.349999999999994</v>
      </c>
      <c r="E151" s="103">
        <v>69.73</v>
      </c>
      <c r="F151" s="104">
        <v>491769</v>
      </c>
      <c r="G151" s="112">
        <f t="shared" si="4"/>
        <v>-2.475524475524471E-2</v>
      </c>
      <c r="I151" s="105">
        <v>45692</v>
      </c>
      <c r="J151" s="85">
        <v>113091.72</v>
      </c>
      <c r="K151" s="85">
        <v>113649.07</v>
      </c>
      <c r="L151" s="85">
        <v>111828.1</v>
      </c>
      <c r="M151" s="85">
        <v>111935.38</v>
      </c>
      <c r="N151" s="123">
        <v>170645912</v>
      </c>
      <c r="O151" s="112">
        <f t="shared" si="5"/>
        <v>-7.1810716944367137E-3</v>
      </c>
    </row>
    <row r="152" spans="1:15">
      <c r="A152" s="121">
        <v>45691</v>
      </c>
      <c r="B152" s="103">
        <v>71.849999999999994</v>
      </c>
      <c r="C152" s="103">
        <v>71.849999999999994</v>
      </c>
      <c r="D152" s="103">
        <v>70.8</v>
      </c>
      <c r="E152" s="103">
        <v>71.5</v>
      </c>
      <c r="F152" s="104">
        <v>1516345</v>
      </c>
      <c r="G152" s="112">
        <f t="shared" si="4"/>
        <v>-1.3984058173688307E-4</v>
      </c>
      <c r="I152" s="105">
        <v>45691</v>
      </c>
      <c r="J152" s="85">
        <v>114549.94</v>
      </c>
      <c r="K152" s="85">
        <v>114620.79</v>
      </c>
      <c r="L152" s="85">
        <v>112681.33</v>
      </c>
      <c r="M152" s="85">
        <v>112745.01</v>
      </c>
      <c r="N152" s="123">
        <v>165869340</v>
      </c>
      <c r="O152" s="112">
        <f t="shared" si="5"/>
        <v>-1.322218266183961E-2</v>
      </c>
    </row>
    <row r="153" spans="1:15">
      <c r="A153" s="121">
        <v>45688</v>
      </c>
      <c r="B153" s="103">
        <v>71.900000000000006</v>
      </c>
      <c r="C153" s="103">
        <v>71.900000000000006</v>
      </c>
      <c r="D153" s="103">
        <v>71.400000000000006</v>
      </c>
      <c r="E153" s="103">
        <v>71.510000000000005</v>
      </c>
      <c r="F153" s="104">
        <v>1290144</v>
      </c>
      <c r="G153" s="112">
        <f t="shared" si="4"/>
        <v>-1.3982102908260963E-4</v>
      </c>
      <c r="I153" s="105">
        <v>45688</v>
      </c>
      <c r="J153" s="85">
        <v>113745.99</v>
      </c>
      <c r="K153" s="85">
        <v>115106.99</v>
      </c>
      <c r="L153" s="85">
        <v>113692.87</v>
      </c>
      <c r="M153" s="85">
        <v>114255.72</v>
      </c>
      <c r="N153" s="123">
        <v>250677180</v>
      </c>
      <c r="O153" s="112">
        <f t="shared" si="5"/>
        <v>9.2690872600842411E-3</v>
      </c>
    </row>
    <row r="154" spans="1:15">
      <c r="A154" s="121">
        <v>45687</v>
      </c>
      <c r="B154" s="103">
        <v>72.489999999999995</v>
      </c>
      <c r="C154" s="103">
        <v>72.489999999999995</v>
      </c>
      <c r="D154" s="103">
        <v>70.7</v>
      </c>
      <c r="E154" s="103">
        <v>71.52</v>
      </c>
      <c r="F154" s="104">
        <v>1457962</v>
      </c>
      <c r="G154" s="112">
        <f t="shared" si="4"/>
        <v>4.8834139903211504E-2</v>
      </c>
      <c r="I154" s="105">
        <v>45687</v>
      </c>
      <c r="J154" s="85">
        <v>111805.66</v>
      </c>
      <c r="K154" s="85">
        <v>113400.56</v>
      </c>
      <c r="L154" s="85">
        <v>111805.66</v>
      </c>
      <c r="M154" s="85">
        <v>113206.39999999999</v>
      </c>
      <c r="N154" s="123">
        <v>172244205</v>
      </c>
      <c r="O154" s="112">
        <f t="shared" si="5"/>
        <v>1.5419147067434302E-2</v>
      </c>
    </row>
    <row r="155" spans="1:15">
      <c r="A155" s="121">
        <v>45686</v>
      </c>
      <c r="B155" s="103">
        <v>67.260000000000005</v>
      </c>
      <c r="C155" s="103">
        <v>70.95</v>
      </c>
      <c r="D155" s="103">
        <v>67.05</v>
      </c>
      <c r="E155" s="103">
        <v>68.19</v>
      </c>
      <c r="F155" s="104">
        <v>13165202</v>
      </c>
      <c r="G155" s="112">
        <f t="shared" si="4"/>
        <v>-0.15866748920419493</v>
      </c>
      <c r="I155" s="105">
        <v>45686</v>
      </c>
      <c r="J155" s="85">
        <v>112274.41</v>
      </c>
      <c r="K155" s="85">
        <v>112569.89</v>
      </c>
      <c r="L155" s="85">
        <v>111157.18</v>
      </c>
      <c r="M155" s="85">
        <v>111487.36</v>
      </c>
      <c r="N155" s="123">
        <v>201920600</v>
      </c>
      <c r="O155" s="112">
        <f t="shared" si="5"/>
        <v>-4.8469004294907636E-3</v>
      </c>
    </row>
    <row r="156" spans="1:15">
      <c r="A156" s="121">
        <v>45685</v>
      </c>
      <c r="B156" s="103">
        <v>80.61</v>
      </c>
      <c r="C156" s="103">
        <v>82.49</v>
      </c>
      <c r="D156" s="103">
        <v>80.61</v>
      </c>
      <c r="E156" s="103">
        <v>81.05</v>
      </c>
      <c r="F156" s="104">
        <v>522497</v>
      </c>
      <c r="G156" s="112">
        <f t="shared" si="4"/>
        <v>-1.0257662718280658E-2</v>
      </c>
      <c r="I156" s="105">
        <v>45685</v>
      </c>
      <c r="J156" s="85">
        <v>113398.28</v>
      </c>
      <c r="K156" s="85">
        <v>113644.71</v>
      </c>
      <c r="L156" s="85">
        <v>111434.95</v>
      </c>
      <c r="M156" s="85">
        <v>112030.36</v>
      </c>
      <c r="N156" s="123">
        <v>211433151</v>
      </c>
      <c r="O156" s="112">
        <f t="shared" si="5"/>
        <v>-1.3125051092174544E-2</v>
      </c>
    </row>
    <row r="157" spans="1:15">
      <c r="A157" s="121">
        <v>45684</v>
      </c>
      <c r="B157" s="103">
        <v>83.4</v>
      </c>
      <c r="C157" s="103">
        <v>84.78</v>
      </c>
      <c r="D157" s="103">
        <v>81.5</v>
      </c>
      <c r="E157" s="103">
        <v>81.89</v>
      </c>
      <c r="F157" s="104">
        <v>715849</v>
      </c>
      <c r="G157" s="112">
        <f t="shared" si="4"/>
        <v>-6.0247876979573123E-2</v>
      </c>
      <c r="I157" s="105">
        <v>45684</v>
      </c>
      <c r="J157" s="85">
        <v>115075.86</v>
      </c>
      <c r="K157" s="85">
        <v>115596.87</v>
      </c>
      <c r="L157" s="85">
        <v>113482.22</v>
      </c>
      <c r="M157" s="85">
        <v>113520.32000000001</v>
      </c>
      <c r="N157" s="123">
        <v>231195606</v>
      </c>
      <c r="O157" s="112">
        <f t="shared" si="5"/>
        <v>-1.1839783399233639E-2</v>
      </c>
    </row>
    <row r="158" spans="1:15">
      <c r="A158" s="121">
        <v>45681</v>
      </c>
      <c r="B158" s="103">
        <v>87.5</v>
      </c>
      <c r="C158" s="103">
        <v>89</v>
      </c>
      <c r="D158" s="103">
        <v>87.02</v>
      </c>
      <c r="E158" s="103">
        <v>87.14</v>
      </c>
      <c r="F158" s="104">
        <v>312556</v>
      </c>
      <c r="G158" s="112">
        <f t="shared" si="4"/>
        <v>-1.5367231638418022E-2</v>
      </c>
      <c r="I158" s="105">
        <v>45681</v>
      </c>
      <c r="J158" s="85">
        <v>114407.66</v>
      </c>
      <c r="K158" s="85">
        <v>115779.05</v>
      </c>
      <c r="L158" s="85">
        <v>114383.16</v>
      </c>
      <c r="M158" s="85">
        <v>114880.48</v>
      </c>
      <c r="N158" s="123">
        <v>280356255</v>
      </c>
      <c r="O158" s="112">
        <f t="shared" si="5"/>
        <v>7.3895679668993797E-3</v>
      </c>
    </row>
    <row r="159" spans="1:15">
      <c r="A159" s="121">
        <v>45680</v>
      </c>
      <c r="B159" s="103">
        <v>91</v>
      </c>
      <c r="C159" s="103">
        <v>91</v>
      </c>
      <c r="D159" s="103">
        <v>88</v>
      </c>
      <c r="E159" s="103">
        <v>88.5</v>
      </c>
      <c r="F159" s="104">
        <v>274439</v>
      </c>
      <c r="G159" s="112">
        <f t="shared" si="4"/>
        <v>-4.2622241453916021E-2</v>
      </c>
      <c r="I159" s="105">
        <v>45680</v>
      </c>
      <c r="J159" s="85">
        <v>113580.21</v>
      </c>
      <c r="K159" s="85">
        <v>114319.62</v>
      </c>
      <c r="L159" s="85">
        <v>113234.31</v>
      </c>
      <c r="M159" s="85">
        <v>114037.79</v>
      </c>
      <c r="N159" s="123">
        <v>374094135</v>
      </c>
      <c r="O159" s="112">
        <f t="shared" si="5"/>
        <v>5.2392633050675208E-3</v>
      </c>
    </row>
    <row r="160" spans="1:15">
      <c r="A160" s="121">
        <v>45679</v>
      </c>
      <c r="B160" s="103">
        <v>94.5</v>
      </c>
      <c r="C160" s="103">
        <v>94.5</v>
      </c>
      <c r="D160" s="103">
        <v>90.03</v>
      </c>
      <c r="E160" s="103">
        <v>92.44</v>
      </c>
      <c r="F160" s="104">
        <v>411039</v>
      </c>
      <c r="G160" s="112">
        <f t="shared" si="4"/>
        <v>-2.4173968119919786E-2</v>
      </c>
      <c r="I160" s="105">
        <v>45679</v>
      </c>
      <c r="J160" s="85">
        <v>114996.26</v>
      </c>
      <c r="K160" s="85">
        <v>115256.16</v>
      </c>
      <c r="L160" s="85">
        <v>113359.37</v>
      </c>
      <c r="M160" s="85">
        <v>113443.43</v>
      </c>
      <c r="N160" s="123">
        <v>358354842</v>
      </c>
      <c r="O160" s="112">
        <f t="shared" si="5"/>
        <v>-1.3897676723117036E-2</v>
      </c>
    </row>
    <row r="161" spans="1:15">
      <c r="A161" s="121">
        <v>45678</v>
      </c>
      <c r="B161" s="103">
        <v>97.49</v>
      </c>
      <c r="C161" s="103">
        <v>98.5</v>
      </c>
      <c r="D161" s="103">
        <v>94.45</v>
      </c>
      <c r="E161" s="103">
        <v>94.73</v>
      </c>
      <c r="F161" s="104">
        <v>811424</v>
      </c>
      <c r="G161" s="112">
        <f t="shared" si="4"/>
        <v>-6.5023597273202727E-3</v>
      </c>
      <c r="I161" s="105">
        <v>45678</v>
      </c>
      <c r="J161" s="85">
        <v>116320.3</v>
      </c>
      <c r="K161" s="85">
        <v>116424.85</v>
      </c>
      <c r="L161" s="85">
        <v>114783.71</v>
      </c>
      <c r="M161" s="85">
        <v>115042.25</v>
      </c>
      <c r="N161" s="123">
        <v>338091446</v>
      </c>
      <c r="O161" s="112">
        <f t="shared" si="5"/>
        <v>-6.9278891302941847E-3</v>
      </c>
    </row>
    <row r="162" spans="1:15">
      <c r="A162" s="121">
        <v>45677</v>
      </c>
      <c r="B162" s="103">
        <v>91</v>
      </c>
      <c r="C162" s="103">
        <v>97.74</v>
      </c>
      <c r="D162" s="103">
        <v>91</v>
      </c>
      <c r="E162" s="103">
        <v>95.35</v>
      </c>
      <c r="F162" s="104">
        <v>1772521</v>
      </c>
      <c r="G162" s="112">
        <f t="shared" si="4"/>
        <v>4.4473655383941102E-2</v>
      </c>
      <c r="I162" s="105">
        <v>45677</v>
      </c>
      <c r="J162" s="85">
        <v>115868.94</v>
      </c>
      <c r="K162" s="85">
        <v>116276.42</v>
      </c>
      <c r="L162" s="85">
        <v>115668.08</v>
      </c>
      <c r="M162" s="85">
        <v>115844.81</v>
      </c>
      <c r="N162" s="123">
        <v>268341356</v>
      </c>
      <c r="O162" s="112">
        <f t="shared" si="5"/>
        <v>4.9685058168464913E-3</v>
      </c>
    </row>
    <row r="163" spans="1:15">
      <c r="A163" s="121">
        <v>45674</v>
      </c>
      <c r="B163" s="103">
        <v>89</v>
      </c>
      <c r="C163" s="103">
        <v>92.89</v>
      </c>
      <c r="D163" s="103">
        <v>89</v>
      </c>
      <c r="E163" s="103">
        <v>91.29</v>
      </c>
      <c r="F163" s="104">
        <v>1378718</v>
      </c>
      <c r="G163" s="112">
        <f t="shared" si="4"/>
        <v>6.1882051878562327E-2</v>
      </c>
      <c r="I163" s="105">
        <v>45674</v>
      </c>
      <c r="J163" s="85">
        <v>114060.38</v>
      </c>
      <c r="K163" s="85">
        <v>115356.12</v>
      </c>
      <c r="L163" s="85">
        <v>113571.95</v>
      </c>
      <c r="M163" s="85">
        <v>115272.08</v>
      </c>
      <c r="N163" s="123">
        <v>212258376</v>
      </c>
      <c r="O163" s="112">
        <f t="shared" si="5"/>
        <v>1.2608758824260047E-2</v>
      </c>
    </row>
    <row r="164" spans="1:15">
      <c r="A164" s="121">
        <v>45673</v>
      </c>
      <c r="B164" s="103">
        <v>88.95</v>
      </c>
      <c r="C164" s="103">
        <v>88.95</v>
      </c>
      <c r="D164" s="103">
        <v>83.36</v>
      </c>
      <c r="E164" s="103">
        <v>85.97</v>
      </c>
      <c r="F164" s="104">
        <v>734281</v>
      </c>
      <c r="G164" s="112">
        <f t="shared" si="4"/>
        <v>2.8718439631446824E-2</v>
      </c>
      <c r="I164" s="105">
        <v>45673</v>
      </c>
      <c r="J164" s="85">
        <v>114800.98</v>
      </c>
      <c r="K164" s="85">
        <v>114884.63</v>
      </c>
      <c r="L164" s="85">
        <v>113630.45</v>
      </c>
      <c r="M164" s="85">
        <v>113836.74</v>
      </c>
      <c r="N164" s="123">
        <v>176924174</v>
      </c>
      <c r="O164" s="112">
        <f t="shared" si="5"/>
        <v>-5.7553253091600087E-3</v>
      </c>
    </row>
    <row r="165" spans="1:15">
      <c r="A165" s="121">
        <v>45672</v>
      </c>
      <c r="B165" s="103">
        <v>85.45</v>
      </c>
      <c r="C165" s="103">
        <v>85.45</v>
      </c>
      <c r="D165" s="103">
        <v>83.5</v>
      </c>
      <c r="E165" s="103">
        <v>83.57</v>
      </c>
      <c r="F165" s="104">
        <v>94226</v>
      </c>
      <c r="G165" s="112">
        <f t="shared" si="4"/>
        <v>-8.0941383481799356E-2</v>
      </c>
      <c r="I165" s="105">
        <v>45672</v>
      </c>
      <c r="J165" s="85">
        <v>115360.64</v>
      </c>
      <c r="K165" s="85">
        <v>115773.39</v>
      </c>
      <c r="L165" s="85">
        <v>114298.29</v>
      </c>
      <c r="M165" s="85">
        <v>114495.7</v>
      </c>
      <c r="N165" s="123">
        <v>236604730</v>
      </c>
      <c r="O165" s="112">
        <f t="shared" si="5"/>
        <v>-2.6868364351954055E-3</v>
      </c>
    </row>
    <row r="166" spans="1:15">
      <c r="A166" s="121">
        <v>45671</v>
      </c>
      <c r="B166" s="103">
        <v>90.27</v>
      </c>
      <c r="C166" s="103">
        <v>92.85</v>
      </c>
      <c r="D166" s="103">
        <v>90.27</v>
      </c>
      <c r="E166" s="103">
        <v>90.93</v>
      </c>
      <c r="F166" s="104">
        <v>212336</v>
      </c>
      <c r="G166" s="112">
        <f t="shared" si="4"/>
        <v>-2.2888459058671762E-2</v>
      </c>
      <c r="I166" s="105">
        <v>45671</v>
      </c>
      <c r="J166" s="85">
        <v>114541.46</v>
      </c>
      <c r="K166" s="85">
        <v>115044.79</v>
      </c>
      <c r="L166" s="85">
        <v>113836.6</v>
      </c>
      <c r="M166" s="85">
        <v>114804.16</v>
      </c>
      <c r="N166" s="123">
        <v>258818915</v>
      </c>
      <c r="O166" s="112">
        <f t="shared" si="5"/>
        <v>5.0258224498875848E-3</v>
      </c>
    </row>
    <row r="167" spans="1:15">
      <c r="A167" s="121">
        <v>45670</v>
      </c>
      <c r="B167" s="103">
        <v>89.05</v>
      </c>
      <c r="C167" s="103">
        <v>93.97</v>
      </c>
      <c r="D167" s="103">
        <v>89.05</v>
      </c>
      <c r="E167" s="103">
        <v>93.06</v>
      </c>
      <c r="F167" s="104">
        <v>92146</v>
      </c>
      <c r="G167" s="112">
        <f t="shared" si="4"/>
        <v>1.0204081632652962E-2</v>
      </c>
      <c r="I167" s="105">
        <v>45670</v>
      </c>
      <c r="J167" s="85">
        <v>113715.5</v>
      </c>
      <c r="K167" s="85">
        <v>114496.08</v>
      </c>
      <c r="L167" s="85">
        <v>113083.86</v>
      </c>
      <c r="M167" s="85">
        <v>114230.06</v>
      </c>
      <c r="N167" s="123">
        <v>198488649</v>
      </c>
      <c r="O167" s="112">
        <f t="shared" si="5"/>
        <v>8.6780884558033122E-3</v>
      </c>
    </row>
    <row r="168" spans="1:15">
      <c r="A168" s="121">
        <v>45667</v>
      </c>
      <c r="B168" s="103">
        <v>91.25</v>
      </c>
      <c r="C168" s="103">
        <v>92.59</v>
      </c>
      <c r="D168" s="103">
        <v>90</v>
      </c>
      <c r="E168" s="103">
        <v>92.12</v>
      </c>
      <c r="F168" s="104">
        <v>204822</v>
      </c>
      <c r="G168" s="112">
        <f t="shared" si="4"/>
        <v>-3.2759344813103608E-2</v>
      </c>
      <c r="I168" s="105">
        <v>45667</v>
      </c>
      <c r="J168" s="85">
        <v>112544.62</v>
      </c>
      <c r="K168" s="85">
        <v>113554.07</v>
      </c>
      <c r="L168" s="85">
        <v>112013.59</v>
      </c>
      <c r="M168" s="85">
        <v>113247.29</v>
      </c>
      <c r="N168" s="123">
        <v>216223504</v>
      </c>
      <c r="O168" s="112">
        <f t="shared" si="5"/>
        <v>5.4069549724933275E-3</v>
      </c>
    </row>
    <row r="169" spans="1:15">
      <c r="A169" s="121">
        <v>45666</v>
      </c>
      <c r="B169" s="103">
        <v>93</v>
      </c>
      <c r="C169" s="103">
        <v>97.49</v>
      </c>
      <c r="D169" s="103">
        <v>91.1</v>
      </c>
      <c r="E169" s="103">
        <v>95.24</v>
      </c>
      <c r="F169" s="104">
        <v>992359</v>
      </c>
      <c r="G169" s="112">
        <f t="shared" si="4"/>
        <v>-1.6771488469602414E-3</v>
      </c>
      <c r="I169" s="105">
        <v>45666</v>
      </c>
      <c r="J169" s="85">
        <v>114313</v>
      </c>
      <c r="K169" s="85">
        <v>114329.95</v>
      </c>
      <c r="L169" s="85">
        <v>112594.66</v>
      </c>
      <c r="M169" s="85">
        <v>112638.26</v>
      </c>
      <c r="N169" s="123">
        <v>268882362</v>
      </c>
      <c r="O169" s="112">
        <f t="shared" si="5"/>
        <v>-1.3230052620075039E-2</v>
      </c>
    </row>
    <row r="170" spans="1:15">
      <c r="A170" s="121">
        <v>45665</v>
      </c>
      <c r="B170" s="103">
        <v>96.48</v>
      </c>
      <c r="C170" s="103">
        <v>96.75</v>
      </c>
      <c r="D170" s="103">
        <v>94.11</v>
      </c>
      <c r="E170" s="103">
        <v>95.4</v>
      </c>
      <c r="F170" s="104">
        <v>85696</v>
      </c>
      <c r="G170" s="112">
        <f t="shared" si="4"/>
        <v>5.4842989827510014E-2</v>
      </c>
      <c r="I170" s="105">
        <v>45665</v>
      </c>
      <c r="J170" s="85">
        <v>116591.08</v>
      </c>
      <c r="K170" s="85">
        <v>117750.22</v>
      </c>
      <c r="L170" s="85">
        <v>113847.03</v>
      </c>
      <c r="M170" s="85">
        <v>114148.45</v>
      </c>
      <c r="N170" s="123">
        <v>254281505</v>
      </c>
      <c r="O170" s="112">
        <f t="shared" si="5"/>
        <v>-1.6408324219656101E-2</v>
      </c>
    </row>
    <row r="171" spans="1:15">
      <c r="A171" s="121">
        <v>45664</v>
      </c>
      <c r="B171" s="103">
        <v>95.99</v>
      </c>
      <c r="C171" s="103">
        <v>95.99</v>
      </c>
      <c r="D171" s="103">
        <v>89</v>
      </c>
      <c r="E171" s="103">
        <v>90.44</v>
      </c>
      <c r="F171" s="104">
        <v>1666847</v>
      </c>
      <c r="G171" s="112">
        <f t="shared" si="4"/>
        <v>-7.89286078012017E-2</v>
      </c>
      <c r="I171" s="105">
        <v>45664</v>
      </c>
      <c r="J171" s="85">
        <v>116667.55</v>
      </c>
      <c r="K171" s="85">
        <v>116843.41</v>
      </c>
      <c r="L171" s="85">
        <v>113677.5</v>
      </c>
      <c r="M171" s="85">
        <v>116052.68</v>
      </c>
      <c r="N171" s="123">
        <v>401226818</v>
      </c>
      <c r="O171" s="112">
        <f t="shared" si="5"/>
        <v>-1.7413426608652305E-3</v>
      </c>
    </row>
    <row r="172" spans="1:15">
      <c r="A172" s="121">
        <v>45663</v>
      </c>
      <c r="B172" s="103">
        <v>96.1</v>
      </c>
      <c r="C172" s="103">
        <v>99</v>
      </c>
      <c r="D172" s="103">
        <v>96.1</v>
      </c>
      <c r="E172" s="103">
        <v>98.19</v>
      </c>
      <c r="F172" s="104">
        <v>338817</v>
      </c>
      <c r="G172" s="112">
        <f t="shared" si="4"/>
        <v>-5.0754060324825989E-2</v>
      </c>
      <c r="I172" s="105">
        <v>45663</v>
      </c>
      <c r="J172" s="85">
        <v>118309.5</v>
      </c>
      <c r="K172" s="85">
        <v>118735.09</v>
      </c>
      <c r="L172" s="85">
        <v>115941.94</v>
      </c>
      <c r="M172" s="85">
        <v>116255.12</v>
      </c>
      <c r="N172" s="123">
        <v>369827568</v>
      </c>
      <c r="O172" s="112">
        <f t="shared" si="5"/>
        <v>-1.1326594151835567E-2</v>
      </c>
    </row>
    <row r="173" spans="1:15">
      <c r="A173" s="121">
        <v>45660</v>
      </c>
      <c r="B173" s="103">
        <v>104</v>
      </c>
      <c r="C173" s="103">
        <v>105.38</v>
      </c>
      <c r="D173" s="103">
        <v>102.21</v>
      </c>
      <c r="E173" s="103">
        <v>103.44</v>
      </c>
      <c r="F173" s="104">
        <v>84055</v>
      </c>
      <c r="G173" s="112">
        <f t="shared" si="4"/>
        <v>1.3521457965902428E-2</v>
      </c>
      <c r="I173" s="105">
        <v>45660</v>
      </c>
      <c r="J173" s="85">
        <v>117484.9</v>
      </c>
      <c r="K173" s="85">
        <v>117891.62</v>
      </c>
      <c r="L173" s="85">
        <v>115580.01</v>
      </c>
      <c r="M173" s="85">
        <v>117586.98</v>
      </c>
      <c r="N173" s="123">
        <v>398069663</v>
      </c>
      <c r="O173" s="112">
        <f t="shared" si="5"/>
        <v>3.9901929351735532E-3</v>
      </c>
    </row>
    <row r="174" spans="1:15">
      <c r="A174" s="121">
        <v>45659</v>
      </c>
      <c r="B174" s="103">
        <v>102.1</v>
      </c>
      <c r="C174" s="103">
        <v>103.24</v>
      </c>
      <c r="D174" s="103">
        <v>100.2</v>
      </c>
      <c r="E174" s="103">
        <v>102.06</v>
      </c>
      <c r="F174" s="104">
        <v>579563</v>
      </c>
      <c r="G174" s="112">
        <f t="shared" si="4"/>
        <v>1.1095700416088761E-2</v>
      </c>
      <c r="I174" s="105">
        <v>45659</v>
      </c>
      <c r="J174" s="85">
        <v>117150.31</v>
      </c>
      <c r="K174" s="85">
        <v>118367.81</v>
      </c>
      <c r="L174" s="85">
        <v>116857.61</v>
      </c>
      <c r="M174" s="85">
        <v>117119.65</v>
      </c>
      <c r="N174" s="123">
        <v>383715356</v>
      </c>
      <c r="O174" s="112">
        <f t="shared" si="5"/>
        <v>9.5352389339264931E-4</v>
      </c>
    </row>
    <row r="175" spans="1:15">
      <c r="A175" s="121">
        <v>45658</v>
      </c>
      <c r="B175" s="103">
        <v>102.5</v>
      </c>
      <c r="C175" s="103">
        <v>102.5</v>
      </c>
      <c r="D175" s="103">
        <v>99.75</v>
      </c>
      <c r="E175" s="103">
        <v>100.94</v>
      </c>
      <c r="F175" s="104">
        <v>10735709</v>
      </c>
      <c r="G175" s="112">
        <f t="shared" si="4"/>
        <v>-1.9238243295763735E-2</v>
      </c>
      <c r="I175" s="105">
        <v>45658</v>
      </c>
      <c r="J175" s="85">
        <v>115258.12</v>
      </c>
      <c r="K175" s="85">
        <v>117341.03</v>
      </c>
      <c r="L175" s="85">
        <v>114719.89</v>
      </c>
      <c r="M175" s="85">
        <v>117008.08</v>
      </c>
      <c r="N175" s="123">
        <v>465169788</v>
      </c>
      <c r="O175" s="112">
        <f t="shared" si="5"/>
        <v>1.6340056059878316E-2</v>
      </c>
    </row>
    <row r="176" spans="1:15">
      <c r="A176" s="121">
        <v>45657</v>
      </c>
      <c r="B176" s="103">
        <v>108</v>
      </c>
      <c r="C176" s="103">
        <v>108</v>
      </c>
      <c r="D176" s="103">
        <v>102.5</v>
      </c>
      <c r="E176" s="103">
        <v>102.92</v>
      </c>
      <c r="F176" s="104">
        <v>1731876</v>
      </c>
      <c r="G176" s="112">
        <f t="shared" si="4"/>
        <v>-8.3607871071142426E-2</v>
      </c>
      <c r="I176" s="105">
        <v>45657</v>
      </c>
      <c r="J176" s="85">
        <v>116700.02</v>
      </c>
      <c r="K176" s="85">
        <v>116700.01</v>
      </c>
      <c r="L176" s="85">
        <v>114804.8</v>
      </c>
      <c r="M176" s="85">
        <v>115126.9</v>
      </c>
      <c r="N176" s="123">
        <v>580521510</v>
      </c>
      <c r="O176" s="112">
        <f t="shared" si="5"/>
        <v>-1.1460277415237252E-3</v>
      </c>
    </row>
    <row r="177" spans="1:15">
      <c r="A177" s="121">
        <v>45656</v>
      </c>
      <c r="B177" s="103">
        <v>111.52</v>
      </c>
      <c r="C177" s="103">
        <v>113</v>
      </c>
      <c r="D177" s="103">
        <v>111.52</v>
      </c>
      <c r="E177" s="103">
        <v>112.31</v>
      </c>
      <c r="F177" s="104">
        <v>430122</v>
      </c>
      <c r="G177" s="112">
        <f t="shared" si="4"/>
        <v>-2.8039809606230981E-2</v>
      </c>
      <c r="I177" s="105">
        <v>45656</v>
      </c>
      <c r="J177" s="85">
        <v>111916.7</v>
      </c>
      <c r="K177" s="85">
        <v>115422.34</v>
      </c>
      <c r="L177" s="85">
        <v>111916.7</v>
      </c>
      <c r="M177" s="85">
        <v>115258.99</v>
      </c>
      <c r="N177" s="123">
        <v>521358892</v>
      </c>
      <c r="O177" s="112">
        <f t="shared" si="5"/>
        <v>3.5094557156426953E-2</v>
      </c>
    </row>
    <row r="178" spans="1:15">
      <c r="A178" s="121">
        <v>45653</v>
      </c>
      <c r="B178" s="103">
        <v>116.89</v>
      </c>
      <c r="C178" s="103">
        <v>116.89</v>
      </c>
      <c r="D178" s="103">
        <v>115</v>
      </c>
      <c r="E178" s="103">
        <v>115.55</v>
      </c>
      <c r="F178" s="104">
        <v>1195300</v>
      </c>
      <c r="G178" s="112">
        <f t="shared" si="4"/>
        <v>-1.4690632561354944E-3</v>
      </c>
      <c r="I178" s="105">
        <v>45653</v>
      </c>
      <c r="J178" s="85">
        <v>110658.65</v>
      </c>
      <c r="K178" s="85">
        <v>112043.77</v>
      </c>
      <c r="L178" s="85">
        <v>110246.93</v>
      </c>
      <c r="M178" s="85">
        <v>111351.17</v>
      </c>
      <c r="N178" s="123">
        <v>293222101</v>
      </c>
      <c r="O178" s="112">
        <f t="shared" si="5"/>
        <v>8.4026634953557888E-3</v>
      </c>
    </row>
    <row r="179" spans="1:15">
      <c r="A179" s="121">
        <v>45652</v>
      </c>
      <c r="B179" s="103">
        <v>113.8</v>
      </c>
      <c r="C179" s="103">
        <v>118</v>
      </c>
      <c r="D179" s="103">
        <v>112.1</v>
      </c>
      <c r="E179" s="103">
        <v>115.72</v>
      </c>
      <c r="F179" s="104">
        <v>2207391</v>
      </c>
      <c r="G179" s="112">
        <f t="shared" si="4"/>
        <v>5.8156547183613849E-2</v>
      </c>
      <c r="I179" s="105">
        <v>45652</v>
      </c>
      <c r="J179" s="85">
        <v>112480.6</v>
      </c>
      <c r="K179" s="85">
        <v>112480.6</v>
      </c>
      <c r="L179" s="85">
        <v>109858.88</v>
      </c>
      <c r="M179" s="85">
        <v>110423.32</v>
      </c>
      <c r="N179" s="123">
        <v>274820575</v>
      </c>
      <c r="O179" s="112">
        <f t="shared" si="5"/>
        <v>-1.771546095353993E-2</v>
      </c>
    </row>
    <row r="180" spans="1:15">
      <c r="A180" s="121">
        <v>45650</v>
      </c>
      <c r="B180" s="103">
        <v>112.01</v>
      </c>
      <c r="C180" s="103">
        <v>113</v>
      </c>
      <c r="D180" s="103">
        <v>108.99</v>
      </c>
      <c r="E180" s="103">
        <v>109.36</v>
      </c>
      <c r="F180" s="104">
        <v>720783</v>
      </c>
      <c r="G180" s="112">
        <f t="shared" si="4"/>
        <v>-3.8170624450307833E-2</v>
      </c>
      <c r="I180" s="105">
        <v>45650</v>
      </c>
      <c r="J180" s="85">
        <v>113924.42</v>
      </c>
      <c r="K180" s="85">
        <v>115036.49</v>
      </c>
      <c r="L180" s="85">
        <v>112294.42</v>
      </c>
      <c r="M180" s="85">
        <v>112414.8</v>
      </c>
      <c r="N180" s="123">
        <v>352683905</v>
      </c>
      <c r="O180" s="112">
        <f t="shared" si="5"/>
        <v>-1.3250979311632993E-2</v>
      </c>
    </row>
    <row r="181" spans="1:15">
      <c r="A181" s="121">
        <v>45649</v>
      </c>
      <c r="B181" s="103">
        <v>113.69</v>
      </c>
      <c r="C181" s="103">
        <v>114.38</v>
      </c>
      <c r="D181" s="103">
        <v>111</v>
      </c>
      <c r="E181" s="103">
        <v>113.7</v>
      </c>
      <c r="F181" s="104">
        <v>378809</v>
      </c>
      <c r="G181" s="112">
        <f t="shared" si="4"/>
        <v>2.7935991320857001E-2</v>
      </c>
      <c r="I181" s="105">
        <v>45649</v>
      </c>
      <c r="J181" s="85">
        <v>110990.57</v>
      </c>
      <c r="K181" s="85">
        <v>114189.71</v>
      </c>
      <c r="L181" s="85">
        <v>110891.35</v>
      </c>
      <c r="M181" s="85">
        <v>113924.41</v>
      </c>
      <c r="N181" s="123">
        <v>424809788</v>
      </c>
      <c r="O181" s="112">
        <f t="shared" si="5"/>
        <v>4.0280737087805107E-2</v>
      </c>
    </row>
    <row r="182" spans="1:15">
      <c r="A182" s="121">
        <v>45646</v>
      </c>
      <c r="B182" s="103">
        <v>109.5</v>
      </c>
      <c r="C182" s="103">
        <v>111</v>
      </c>
      <c r="D182" s="103">
        <v>108.39</v>
      </c>
      <c r="E182" s="103">
        <v>110.61</v>
      </c>
      <c r="F182" s="104">
        <v>841768</v>
      </c>
      <c r="G182" s="112">
        <f t="shared" si="4"/>
        <v>-2.9140700430088762E-2</v>
      </c>
      <c r="I182" s="105">
        <v>45646</v>
      </c>
      <c r="J182" s="85">
        <v>106073.21</v>
      </c>
      <c r="K182" s="85">
        <v>109846.64</v>
      </c>
      <c r="L182" s="85">
        <v>105601.03</v>
      </c>
      <c r="M182" s="85">
        <v>109513.14</v>
      </c>
      <c r="N182" s="123">
        <v>321981379</v>
      </c>
      <c r="O182" s="112">
        <f t="shared" si="5"/>
        <v>3.0469733371837115E-2</v>
      </c>
    </row>
    <row r="183" spans="1:15">
      <c r="A183" s="121">
        <v>45645</v>
      </c>
      <c r="B183" s="103">
        <v>114</v>
      </c>
      <c r="C183" s="103">
        <v>114.5</v>
      </c>
      <c r="D183" s="103">
        <v>113.06</v>
      </c>
      <c r="E183" s="103">
        <v>113.93</v>
      </c>
      <c r="F183" s="104">
        <v>487685</v>
      </c>
      <c r="G183" s="112">
        <f t="shared" si="4"/>
        <v>8.2300884955752718E-3</v>
      </c>
      <c r="I183" s="105">
        <v>45645</v>
      </c>
      <c r="J183" s="85">
        <v>110140.75</v>
      </c>
      <c r="K183" s="85">
        <v>111745.02</v>
      </c>
      <c r="L183" s="85">
        <v>105937.37</v>
      </c>
      <c r="M183" s="85">
        <v>106274.97</v>
      </c>
      <c r="N183" s="123">
        <v>531310276</v>
      </c>
      <c r="O183" s="112">
        <f t="shared" si="5"/>
        <v>-4.3173741600926685E-2</v>
      </c>
    </row>
    <row r="184" spans="1:15">
      <c r="A184" s="121">
        <v>45644</v>
      </c>
      <c r="B184" s="103">
        <v>115.1</v>
      </c>
      <c r="C184" s="103">
        <v>115.9</v>
      </c>
      <c r="D184" s="103">
        <v>112.26</v>
      </c>
      <c r="E184" s="103">
        <v>113</v>
      </c>
      <c r="F184" s="104">
        <v>453555</v>
      </c>
      <c r="G184" s="112">
        <f t="shared" si="4"/>
        <v>-2.7287595764827421E-2</v>
      </c>
      <c r="I184" s="105">
        <v>45644</v>
      </c>
      <c r="J184" s="85">
        <v>114854.05</v>
      </c>
      <c r="K184" s="85">
        <v>116236.7</v>
      </c>
      <c r="L184" s="85">
        <v>110896.27</v>
      </c>
      <c r="M184" s="85">
        <v>111070.29</v>
      </c>
      <c r="N184" s="123">
        <v>507235151</v>
      </c>
      <c r="O184" s="112">
        <f t="shared" si="5"/>
        <v>-3.2999891694877603E-2</v>
      </c>
    </row>
    <row r="185" spans="1:15">
      <c r="A185" s="121">
        <v>45643</v>
      </c>
      <c r="B185" s="103">
        <v>117.41</v>
      </c>
      <c r="C185" s="103">
        <v>117.41</v>
      </c>
      <c r="D185" s="103">
        <v>115.02</v>
      </c>
      <c r="E185" s="103">
        <v>116.17</v>
      </c>
      <c r="F185" s="104">
        <v>1270047</v>
      </c>
      <c r="G185" s="112">
        <f t="shared" si="4"/>
        <v>-4.5753244619681221E-2</v>
      </c>
      <c r="I185" s="105">
        <v>45643</v>
      </c>
      <c r="J185" s="85">
        <v>116308.02</v>
      </c>
      <c r="K185" s="85">
        <v>117039.17</v>
      </c>
      <c r="L185" s="85">
        <v>113688.54</v>
      </c>
      <c r="M185" s="85">
        <v>114860.68</v>
      </c>
      <c r="N185" s="123">
        <v>548572535</v>
      </c>
      <c r="O185" s="112">
        <f t="shared" si="5"/>
        <v>-1.1265702391016763E-2</v>
      </c>
    </row>
    <row r="186" spans="1:15">
      <c r="A186" s="121">
        <v>45642</v>
      </c>
      <c r="B186" s="103">
        <v>122.4</v>
      </c>
      <c r="C186" s="103">
        <v>122.6</v>
      </c>
      <c r="D186" s="103">
        <v>121.5</v>
      </c>
      <c r="E186" s="103">
        <v>121.74</v>
      </c>
      <c r="F186" s="104">
        <v>83287</v>
      </c>
      <c r="G186" s="112">
        <f t="shared" si="4"/>
        <v>-7.0146818923327858E-3</v>
      </c>
      <c r="I186" s="105">
        <v>45642</v>
      </c>
      <c r="J186" s="85">
        <v>115433.26</v>
      </c>
      <c r="K186" s="85">
        <v>116681.59</v>
      </c>
      <c r="L186" s="85">
        <v>115345.99</v>
      </c>
      <c r="M186" s="85">
        <v>116169.41</v>
      </c>
      <c r="N186" s="123">
        <v>491296218</v>
      </c>
      <c r="O186" s="112">
        <f t="shared" si="5"/>
        <v>1.6339287745249953E-2</v>
      </c>
    </row>
    <row r="187" spans="1:15">
      <c r="A187" s="121">
        <v>45639</v>
      </c>
      <c r="B187" s="103">
        <v>123.23</v>
      </c>
      <c r="C187" s="103">
        <v>124.5</v>
      </c>
      <c r="D187" s="103">
        <v>122.45</v>
      </c>
      <c r="E187" s="103">
        <v>122.6</v>
      </c>
      <c r="F187" s="104">
        <v>532437</v>
      </c>
      <c r="G187" s="112">
        <f t="shared" si="4"/>
        <v>-1.0652033570045294E-2</v>
      </c>
      <c r="I187" s="105">
        <v>45639</v>
      </c>
      <c r="J187" s="85">
        <v>114627.54</v>
      </c>
      <c r="K187" s="85">
        <v>115172.44</v>
      </c>
      <c r="L187" s="85">
        <v>112609.25</v>
      </c>
      <c r="M187" s="85">
        <v>114301.8</v>
      </c>
      <c r="N187" s="123">
        <v>479749698</v>
      </c>
      <c r="O187" s="112">
        <f t="shared" si="5"/>
        <v>1.0623530287572347E-3</v>
      </c>
    </row>
    <row r="188" spans="1:15">
      <c r="A188" s="121">
        <v>45638</v>
      </c>
      <c r="B188" s="103">
        <v>124.44</v>
      </c>
      <c r="C188" s="103">
        <v>125</v>
      </c>
      <c r="D188" s="103">
        <v>123.55</v>
      </c>
      <c r="E188" s="103">
        <v>123.92</v>
      </c>
      <c r="F188" s="104">
        <v>191597</v>
      </c>
      <c r="G188" s="112">
        <f t="shared" si="4"/>
        <v>2.2526611106526984E-2</v>
      </c>
      <c r="I188" s="105">
        <v>45638</v>
      </c>
      <c r="J188" s="85">
        <v>111308.66</v>
      </c>
      <c r="K188" s="85">
        <v>114408.62</v>
      </c>
      <c r="L188" s="85">
        <v>111308.65</v>
      </c>
      <c r="M188" s="85">
        <v>114180.5</v>
      </c>
      <c r="N188" s="123">
        <v>636222242</v>
      </c>
      <c r="O188" s="112">
        <f t="shared" si="5"/>
        <v>3.0414977103644159E-2</v>
      </c>
    </row>
    <row r="189" spans="1:15">
      <c r="A189" s="121">
        <v>45637</v>
      </c>
      <c r="B189" s="103">
        <v>120.2</v>
      </c>
      <c r="C189" s="103">
        <v>121.7</v>
      </c>
      <c r="D189" s="103">
        <v>120.2</v>
      </c>
      <c r="E189" s="103">
        <v>121.19</v>
      </c>
      <c r="F189" s="104">
        <v>691880</v>
      </c>
      <c r="G189" s="112">
        <f t="shared" si="4"/>
        <v>-2.0586297760211147E-3</v>
      </c>
      <c r="I189" s="105">
        <v>45637</v>
      </c>
      <c r="J189" s="85">
        <v>109455.51</v>
      </c>
      <c r="K189" s="85">
        <v>111012.01</v>
      </c>
      <c r="L189" s="85">
        <v>109416.32000000001</v>
      </c>
      <c r="M189" s="85">
        <v>110810.21</v>
      </c>
      <c r="N189" s="123">
        <v>509284555</v>
      </c>
      <c r="O189" s="112">
        <f t="shared" si="5"/>
        <v>1.7572257732446417E-2</v>
      </c>
    </row>
    <row r="190" spans="1:15">
      <c r="A190" s="121">
        <v>45636</v>
      </c>
      <c r="B190" s="103">
        <v>122.25</v>
      </c>
      <c r="C190" s="103">
        <v>122.45</v>
      </c>
      <c r="D190" s="103">
        <v>121.15</v>
      </c>
      <c r="E190" s="103">
        <v>121.44</v>
      </c>
      <c r="F190" s="104">
        <v>220830</v>
      </c>
      <c r="G190" s="112">
        <f t="shared" si="4"/>
        <v>-5.8125255832992551E-3</v>
      </c>
      <c r="I190" s="105">
        <v>45636</v>
      </c>
      <c r="J190" s="85">
        <v>110738.04</v>
      </c>
      <c r="K190" s="85">
        <v>111759.58</v>
      </c>
      <c r="L190" s="85">
        <v>107711.4</v>
      </c>
      <c r="M190" s="85">
        <v>108896.65</v>
      </c>
      <c r="N190" s="123">
        <v>669926243</v>
      </c>
      <c r="O190" s="112">
        <f t="shared" si="5"/>
        <v>-9.7638109461839484E-3</v>
      </c>
    </row>
    <row r="191" spans="1:15">
      <c r="A191" s="121">
        <v>45635</v>
      </c>
      <c r="B191" s="103">
        <v>123.01</v>
      </c>
      <c r="C191" s="103">
        <v>123.1</v>
      </c>
      <c r="D191" s="103">
        <v>122</v>
      </c>
      <c r="E191" s="103">
        <v>122.15</v>
      </c>
      <c r="F191" s="104">
        <v>449851</v>
      </c>
      <c r="G191" s="112">
        <f t="shared" si="4"/>
        <v>1.4787737808424017E-2</v>
      </c>
      <c r="I191" s="105">
        <v>45635</v>
      </c>
      <c r="J191" s="85">
        <v>109094.07</v>
      </c>
      <c r="K191" s="85">
        <v>110358.85</v>
      </c>
      <c r="L191" s="85">
        <v>107625.91</v>
      </c>
      <c r="M191" s="85">
        <v>109970.38</v>
      </c>
      <c r="N191" s="123">
        <v>719554091</v>
      </c>
      <c r="O191" s="112">
        <f t="shared" si="5"/>
        <v>8.4034553539784618E-3</v>
      </c>
    </row>
    <row r="192" spans="1:15">
      <c r="A192" s="121">
        <v>45632</v>
      </c>
      <c r="B192" s="103">
        <v>119</v>
      </c>
      <c r="C192" s="103">
        <v>121.23</v>
      </c>
      <c r="D192" s="103">
        <v>118.03</v>
      </c>
      <c r="E192" s="103">
        <v>120.37</v>
      </c>
      <c r="F192" s="104">
        <v>2955003</v>
      </c>
      <c r="G192" s="112">
        <f t="shared" si="4"/>
        <v>2.853969067760409E-2</v>
      </c>
      <c r="I192" s="105">
        <v>45632</v>
      </c>
      <c r="J192" s="85">
        <v>108864.72</v>
      </c>
      <c r="K192" s="85">
        <v>109478.08</v>
      </c>
      <c r="L192" s="85">
        <v>108550.86</v>
      </c>
      <c r="M192" s="85">
        <v>109053.95</v>
      </c>
      <c r="N192" s="123">
        <v>658756292</v>
      </c>
      <c r="O192" s="112">
        <f t="shared" si="5"/>
        <v>7.5295438906655132E-3</v>
      </c>
    </row>
    <row r="193" spans="1:15">
      <c r="A193" s="121">
        <v>45631</v>
      </c>
      <c r="B193" s="103">
        <v>117</v>
      </c>
      <c r="C193" s="103">
        <v>117.9</v>
      </c>
      <c r="D193" s="103">
        <v>116.5</v>
      </c>
      <c r="E193" s="103">
        <v>117.03</v>
      </c>
      <c r="F193" s="104">
        <v>405791</v>
      </c>
      <c r="G193" s="112">
        <f t="shared" si="4"/>
        <v>7.4896694214876547E-3</v>
      </c>
      <c r="I193" s="105">
        <v>45631</v>
      </c>
      <c r="J193" s="85">
        <v>105661.16</v>
      </c>
      <c r="K193" s="85">
        <v>108345.98</v>
      </c>
      <c r="L193" s="85">
        <v>105448.05</v>
      </c>
      <c r="M193" s="85">
        <v>108238.96</v>
      </c>
      <c r="N193" s="123">
        <v>721594986</v>
      </c>
      <c r="O193" s="112">
        <f t="shared" si="5"/>
        <v>2.9823985367681827E-2</v>
      </c>
    </row>
    <row r="194" spans="1:15">
      <c r="A194" s="121">
        <v>45630</v>
      </c>
      <c r="B194" s="103">
        <v>117.91</v>
      </c>
      <c r="C194" s="103">
        <v>117.91</v>
      </c>
      <c r="D194" s="103">
        <v>116</v>
      </c>
      <c r="E194" s="103">
        <v>116.16</v>
      </c>
      <c r="F194" s="104">
        <v>379513</v>
      </c>
      <c r="G194" s="112">
        <f t="shared" si="4"/>
        <v>-2.0077610933018519E-2</v>
      </c>
      <c r="I194" s="105">
        <v>45630</v>
      </c>
      <c r="J194" s="85">
        <v>105080.29</v>
      </c>
      <c r="K194" s="85">
        <v>105473.56</v>
      </c>
      <c r="L194" s="85">
        <v>104315.41</v>
      </c>
      <c r="M194" s="85">
        <v>105104.33</v>
      </c>
      <c r="N194" s="123">
        <v>697648587</v>
      </c>
      <c r="O194" s="112">
        <f t="shared" si="5"/>
        <v>5.2148512797598467E-3</v>
      </c>
    </row>
    <row r="195" spans="1:15">
      <c r="A195" s="121">
        <v>45629</v>
      </c>
      <c r="B195" s="103">
        <v>118.95</v>
      </c>
      <c r="C195" s="103">
        <v>120.1</v>
      </c>
      <c r="D195" s="103">
        <v>117.1</v>
      </c>
      <c r="E195" s="103">
        <v>118.54</v>
      </c>
      <c r="F195" s="104">
        <v>1565638</v>
      </c>
      <c r="G195" s="112">
        <f t="shared" si="4"/>
        <v>-6.2871992623019235E-3</v>
      </c>
      <c r="I195" s="105">
        <v>45629</v>
      </c>
      <c r="J195" s="85">
        <v>103520</v>
      </c>
      <c r="K195" s="85">
        <v>104680.88</v>
      </c>
      <c r="L195" s="85">
        <v>102825.59</v>
      </c>
      <c r="M195" s="85">
        <v>104559.07</v>
      </c>
      <c r="N195" s="123">
        <v>756590949</v>
      </c>
      <c r="O195" s="112">
        <f t="shared" si="5"/>
        <v>1.243409098083248E-2</v>
      </c>
    </row>
    <row r="196" spans="1:15">
      <c r="A196" s="121">
        <v>45628</v>
      </c>
      <c r="B196" s="103">
        <v>120.43</v>
      </c>
      <c r="C196" s="103">
        <v>120.5</v>
      </c>
      <c r="D196" s="103">
        <v>118.65</v>
      </c>
      <c r="E196" s="103">
        <v>119.29</v>
      </c>
      <c r="F196" s="104">
        <v>803835</v>
      </c>
      <c r="G196" s="112">
        <f t="shared" ref="G196:G259" si="6">E196/E197-1</f>
        <v>-1.7542414758688785E-2</v>
      </c>
      <c r="I196" s="105">
        <v>45628</v>
      </c>
      <c r="J196" s="85">
        <v>101921.21</v>
      </c>
      <c r="K196" s="85">
        <v>103386.46</v>
      </c>
      <c r="L196" s="85">
        <v>101921.2</v>
      </c>
      <c r="M196" s="85">
        <v>103274.94</v>
      </c>
      <c r="N196" s="123">
        <v>695792396</v>
      </c>
      <c r="O196" s="112">
        <f t="shared" ref="O196:O259" si="7">M196/M197-1</f>
        <v>1.8919403157068526E-2</v>
      </c>
    </row>
    <row r="197" spans="1:15">
      <c r="A197" s="121">
        <v>45625</v>
      </c>
      <c r="B197" s="103">
        <v>123.9</v>
      </c>
      <c r="C197" s="103">
        <v>123.95</v>
      </c>
      <c r="D197" s="103">
        <v>121.06</v>
      </c>
      <c r="E197" s="103">
        <v>121.42</v>
      </c>
      <c r="F197" s="104">
        <v>1012588</v>
      </c>
      <c r="G197" s="112">
        <f t="shared" si="6"/>
        <v>-2.9881751358261432E-2</v>
      </c>
      <c r="I197" s="105">
        <v>45625</v>
      </c>
      <c r="J197" s="85">
        <v>100393.16</v>
      </c>
      <c r="K197" s="85">
        <v>101496.17</v>
      </c>
      <c r="L197" s="85">
        <v>99822.61</v>
      </c>
      <c r="M197" s="85">
        <v>101357.32</v>
      </c>
      <c r="N197" s="123">
        <v>454634490</v>
      </c>
      <c r="O197" s="112">
        <f t="shared" si="7"/>
        <v>1.2734959274208757E-2</v>
      </c>
    </row>
    <row r="198" spans="1:15">
      <c r="A198" s="121">
        <v>45624</v>
      </c>
      <c r="B198" s="103">
        <v>118.1</v>
      </c>
      <c r="C198" s="103">
        <v>126.9</v>
      </c>
      <c r="D198" s="103">
        <v>118.1</v>
      </c>
      <c r="E198" s="103">
        <v>125.16</v>
      </c>
      <c r="F198" s="104">
        <v>5093343</v>
      </c>
      <c r="G198" s="112">
        <f t="shared" si="6"/>
        <v>3.8498556304138454E-3</v>
      </c>
      <c r="I198" s="105">
        <v>45624</v>
      </c>
      <c r="J198" s="85">
        <v>100059.29</v>
      </c>
      <c r="K198" s="85">
        <v>100540.29</v>
      </c>
      <c r="L198" s="85">
        <v>99354.240000000005</v>
      </c>
      <c r="M198" s="85">
        <v>100082.77</v>
      </c>
      <c r="N198" s="123">
        <v>555937638</v>
      </c>
      <c r="O198" s="112">
        <f t="shared" si="7"/>
        <v>8.1950855879338036E-3</v>
      </c>
    </row>
    <row r="199" spans="1:15">
      <c r="A199" s="121">
        <v>45623</v>
      </c>
      <c r="B199" s="103">
        <v>128</v>
      </c>
      <c r="C199" s="103">
        <v>129.1</v>
      </c>
      <c r="D199" s="103">
        <v>123.52</v>
      </c>
      <c r="E199" s="103">
        <v>124.68</v>
      </c>
      <c r="F199" s="104">
        <v>4487112</v>
      </c>
      <c r="G199" s="112">
        <f t="shared" si="6"/>
        <v>-1.8413257545432105E-3</v>
      </c>
      <c r="I199" s="105">
        <v>45623</v>
      </c>
      <c r="J199" s="85">
        <v>97425.06</v>
      </c>
      <c r="K199" s="85">
        <v>99549.81</v>
      </c>
      <c r="L199" s="85">
        <v>97188.27</v>
      </c>
      <c r="M199" s="85">
        <v>99269.25</v>
      </c>
      <c r="N199" s="123">
        <v>495792767</v>
      </c>
      <c r="O199" s="112">
        <f t="shared" si="7"/>
        <v>4.96445329252726E-2</v>
      </c>
    </row>
    <row r="200" spans="1:15">
      <c r="A200" s="121">
        <v>45622</v>
      </c>
      <c r="B200" s="103">
        <v>122.15</v>
      </c>
      <c r="C200" s="103">
        <v>125.94</v>
      </c>
      <c r="D200" s="103">
        <v>122.15</v>
      </c>
      <c r="E200" s="103">
        <v>124.91</v>
      </c>
      <c r="F200" s="104">
        <v>495611</v>
      </c>
      <c r="G200" s="112">
        <f t="shared" si="6"/>
        <v>-1.3738649822345073E-2</v>
      </c>
      <c r="I200" s="105">
        <v>45622</v>
      </c>
      <c r="J200" s="85">
        <v>98049.38</v>
      </c>
      <c r="K200" s="85">
        <v>99819.59</v>
      </c>
      <c r="L200" s="85">
        <v>94180.59</v>
      </c>
      <c r="M200" s="85">
        <v>94574.16</v>
      </c>
      <c r="N200" s="123">
        <v>517935877</v>
      </c>
      <c r="O200" s="112">
        <f t="shared" si="7"/>
        <v>-3.5742535311559576E-2</v>
      </c>
    </row>
    <row r="201" spans="1:15">
      <c r="A201" s="121">
        <v>45621</v>
      </c>
      <c r="B201" s="103">
        <v>125.6</v>
      </c>
      <c r="C201" s="103">
        <v>127.01</v>
      </c>
      <c r="D201" s="103">
        <v>125.2</v>
      </c>
      <c r="E201" s="103">
        <v>126.65</v>
      </c>
      <c r="F201" s="104">
        <v>705569</v>
      </c>
      <c r="G201" s="112">
        <f t="shared" si="6"/>
        <v>-2.4417139256457387E-3</v>
      </c>
      <c r="I201" s="105">
        <v>45621</v>
      </c>
      <c r="J201" s="85">
        <v>97851.82</v>
      </c>
      <c r="K201" s="85">
        <v>99317.47</v>
      </c>
      <c r="L201" s="85">
        <v>97137.63</v>
      </c>
      <c r="M201" s="85">
        <v>98079.78</v>
      </c>
      <c r="N201" s="123">
        <v>281098386</v>
      </c>
      <c r="O201" s="112">
        <f t="shared" si="7"/>
        <v>2.878886458374641E-3</v>
      </c>
    </row>
    <row r="202" spans="1:15">
      <c r="A202" s="121">
        <v>45618</v>
      </c>
      <c r="B202" s="103">
        <v>126.95</v>
      </c>
      <c r="C202" s="103">
        <v>128.99</v>
      </c>
      <c r="D202" s="103">
        <v>126.01</v>
      </c>
      <c r="E202" s="103">
        <v>126.96</v>
      </c>
      <c r="F202" s="104">
        <v>465436</v>
      </c>
      <c r="G202" s="112">
        <f t="shared" si="6"/>
        <v>-2.1125674633770242E-2</v>
      </c>
      <c r="I202" s="105">
        <v>45618</v>
      </c>
      <c r="J202" s="85">
        <v>97835.39</v>
      </c>
      <c r="K202" s="85">
        <v>99623.03</v>
      </c>
      <c r="L202" s="85">
        <v>97471.11</v>
      </c>
      <c r="M202" s="85">
        <v>97798.23</v>
      </c>
      <c r="N202" s="123">
        <v>515073212</v>
      </c>
      <c r="O202" s="112">
        <f t="shared" si="7"/>
        <v>4.8273684584734244E-3</v>
      </c>
    </row>
    <row r="203" spans="1:15">
      <c r="A203" s="121">
        <v>45617</v>
      </c>
      <c r="B203" s="103">
        <v>128.01</v>
      </c>
      <c r="C203" s="103">
        <v>129</v>
      </c>
      <c r="D203" s="103">
        <v>126.55</v>
      </c>
      <c r="E203" s="103">
        <v>129.69999999999999</v>
      </c>
      <c r="F203" s="104">
        <v>544116</v>
      </c>
      <c r="G203" s="112">
        <f t="shared" si="6"/>
        <v>6.494786107233752E-2</v>
      </c>
      <c r="I203" s="105">
        <v>45617</v>
      </c>
      <c r="J203" s="85">
        <v>95674.5</v>
      </c>
      <c r="K203" s="85">
        <v>97437.15</v>
      </c>
      <c r="L203" s="85">
        <v>95300.21</v>
      </c>
      <c r="M203" s="85">
        <v>97328.39</v>
      </c>
      <c r="N203" s="123">
        <v>323534561</v>
      </c>
      <c r="O203" s="112">
        <f t="shared" si="7"/>
        <v>1.864998647254823E-2</v>
      </c>
    </row>
    <row r="204" spans="1:15">
      <c r="A204" s="121">
        <v>45616</v>
      </c>
      <c r="B204" s="103">
        <v>119.74</v>
      </c>
      <c r="C204" s="103">
        <v>122.8</v>
      </c>
      <c r="D204" s="103">
        <v>117.05</v>
      </c>
      <c r="E204" s="103">
        <v>121.79</v>
      </c>
      <c r="F204" s="104">
        <v>1824940</v>
      </c>
      <c r="G204" s="112">
        <f t="shared" si="6"/>
        <v>0.1107159142726859</v>
      </c>
      <c r="I204" s="105">
        <v>45616</v>
      </c>
      <c r="J204" s="85">
        <v>96055.66</v>
      </c>
      <c r="K204" s="85">
        <v>96711.33</v>
      </c>
      <c r="L204" s="85">
        <v>95311.97</v>
      </c>
      <c r="M204" s="85">
        <v>95546.45</v>
      </c>
      <c r="N204" s="123">
        <v>565381751</v>
      </c>
      <c r="O204" s="112">
        <f t="shared" si="7"/>
        <v>-3.2361861971823558E-3</v>
      </c>
    </row>
    <row r="205" spans="1:15">
      <c r="A205" s="121">
        <v>45615</v>
      </c>
      <c r="B205" s="103">
        <v>109.53</v>
      </c>
      <c r="C205" s="103">
        <v>110.49</v>
      </c>
      <c r="D205" s="103">
        <v>109.02</v>
      </c>
      <c r="E205" s="103">
        <v>109.65</v>
      </c>
      <c r="F205" s="104">
        <v>1206108</v>
      </c>
      <c r="G205" s="112">
        <f t="shared" si="6"/>
        <v>-3.2724297791110191E-3</v>
      </c>
      <c r="I205" s="105">
        <v>45615</v>
      </c>
      <c r="J205" s="85">
        <v>95241.64</v>
      </c>
      <c r="K205" s="85">
        <v>96036.479999999996</v>
      </c>
      <c r="L205" s="85">
        <v>95212.63</v>
      </c>
      <c r="M205" s="85">
        <v>95856.66</v>
      </c>
      <c r="N205" s="123">
        <v>377888671</v>
      </c>
      <c r="O205" s="112">
        <f t="shared" si="7"/>
        <v>9.0634657348067638E-3</v>
      </c>
    </row>
    <row r="206" spans="1:15">
      <c r="A206" s="121">
        <v>45614</v>
      </c>
      <c r="B206" s="103">
        <v>110.09</v>
      </c>
      <c r="C206" s="103">
        <v>110.35</v>
      </c>
      <c r="D206" s="103">
        <v>109.09</v>
      </c>
      <c r="E206" s="103">
        <v>110.01</v>
      </c>
      <c r="F206" s="104">
        <v>1599420</v>
      </c>
      <c r="G206" s="112">
        <f t="shared" si="6"/>
        <v>-1.7680150013393958E-2</v>
      </c>
      <c r="I206" s="105">
        <v>45614</v>
      </c>
      <c r="J206" s="85">
        <v>95060.85</v>
      </c>
      <c r="K206" s="85">
        <v>95307.91</v>
      </c>
      <c r="L206" s="85">
        <v>94620.44</v>
      </c>
      <c r="M206" s="85">
        <v>94995.67</v>
      </c>
      <c r="N206" s="123">
        <v>277314752</v>
      </c>
      <c r="O206" s="112">
        <f t="shared" si="7"/>
        <v>2.448512952858195E-3</v>
      </c>
    </row>
    <row r="207" spans="1:15">
      <c r="A207" s="121">
        <v>45611</v>
      </c>
      <c r="B207" s="103">
        <v>115</v>
      </c>
      <c r="C207" s="103">
        <v>115</v>
      </c>
      <c r="D207" s="103">
        <v>111</v>
      </c>
      <c r="E207" s="103">
        <v>111.99</v>
      </c>
      <c r="F207" s="104">
        <v>5459595</v>
      </c>
      <c r="G207" s="112">
        <f t="shared" si="6"/>
        <v>-5.7640525075732141E-2</v>
      </c>
      <c r="I207" s="105">
        <v>45611</v>
      </c>
      <c r="J207" s="85">
        <v>94431.19</v>
      </c>
      <c r="K207" s="85">
        <v>95278.26</v>
      </c>
      <c r="L207" s="85">
        <v>94431.18</v>
      </c>
      <c r="M207" s="85">
        <v>94763.64</v>
      </c>
      <c r="N207" s="123">
        <v>283270185</v>
      </c>
      <c r="O207" s="112">
        <f t="shared" si="7"/>
        <v>6.0700555005319679E-3</v>
      </c>
    </row>
    <row r="208" spans="1:15">
      <c r="A208" s="121">
        <v>45610</v>
      </c>
      <c r="B208" s="103">
        <v>119</v>
      </c>
      <c r="C208" s="103">
        <v>119</v>
      </c>
      <c r="D208" s="103">
        <v>117.11</v>
      </c>
      <c r="E208" s="103">
        <v>118.84</v>
      </c>
      <c r="F208" s="104">
        <v>201140</v>
      </c>
      <c r="G208" s="112">
        <f t="shared" si="6"/>
        <v>1.0286491541273479E-2</v>
      </c>
      <c r="I208" s="105">
        <v>45610</v>
      </c>
      <c r="J208" s="85">
        <v>93672.72</v>
      </c>
      <c r="K208" s="85">
        <v>94289.97</v>
      </c>
      <c r="L208" s="85">
        <v>93672.72</v>
      </c>
      <c r="M208" s="85">
        <v>94191.89</v>
      </c>
      <c r="N208" s="123">
        <v>255614990</v>
      </c>
      <c r="O208" s="112">
        <f t="shared" si="7"/>
        <v>8.9600582376470062E-3</v>
      </c>
    </row>
    <row r="209" spans="1:15">
      <c r="A209" s="121">
        <v>45609</v>
      </c>
      <c r="B209" s="103">
        <v>116.35</v>
      </c>
      <c r="C209" s="103">
        <v>118.97</v>
      </c>
      <c r="D209" s="103">
        <v>115.52</v>
      </c>
      <c r="E209" s="103">
        <v>117.63</v>
      </c>
      <c r="F209" s="104">
        <v>2176748</v>
      </c>
      <c r="G209" s="112">
        <f t="shared" si="6"/>
        <v>-1.9586597766294456E-2</v>
      </c>
      <c r="I209" s="105">
        <v>45609</v>
      </c>
      <c r="J209" s="85">
        <v>93362.53</v>
      </c>
      <c r="K209" s="85">
        <v>93803.58</v>
      </c>
      <c r="L209" s="85">
        <v>92943.07</v>
      </c>
      <c r="M209" s="85">
        <v>93355.42</v>
      </c>
      <c r="N209" s="123">
        <v>295673605</v>
      </c>
      <c r="O209" s="112">
        <f t="shared" si="7"/>
        <v>1.4037073492221275E-3</v>
      </c>
    </row>
    <row r="210" spans="1:15">
      <c r="A210" s="121">
        <v>45608</v>
      </c>
      <c r="B210" s="103">
        <v>121</v>
      </c>
      <c r="C210" s="103">
        <v>121.88</v>
      </c>
      <c r="D210" s="103">
        <v>119.55</v>
      </c>
      <c r="E210" s="103">
        <v>119.98</v>
      </c>
      <c r="F210" s="104">
        <v>7009352</v>
      </c>
      <c r="G210" s="112">
        <f t="shared" si="6"/>
        <v>-3.8005131494547761E-2</v>
      </c>
      <c r="I210" s="105">
        <v>45608</v>
      </c>
      <c r="J210" s="85">
        <v>93799.93</v>
      </c>
      <c r="K210" s="85">
        <v>93871.61</v>
      </c>
      <c r="L210" s="85">
        <v>92893.11</v>
      </c>
      <c r="M210" s="85">
        <v>93224.56</v>
      </c>
      <c r="N210" s="123">
        <v>408482876</v>
      </c>
      <c r="O210" s="112">
        <f t="shared" si="7"/>
        <v>-4.5250144369916034E-3</v>
      </c>
    </row>
    <row r="211" spans="1:15">
      <c r="A211" s="121">
        <v>45607</v>
      </c>
      <c r="B211" s="103">
        <v>126.93</v>
      </c>
      <c r="C211" s="103">
        <v>126.93</v>
      </c>
      <c r="D211" s="103">
        <v>122.2</v>
      </c>
      <c r="E211" s="103">
        <v>124.72</v>
      </c>
      <c r="F211" s="104">
        <v>1847573</v>
      </c>
      <c r="G211" s="112">
        <f t="shared" si="6"/>
        <v>-4.2089093701996871E-2</v>
      </c>
      <c r="I211" s="105">
        <v>45607</v>
      </c>
      <c r="J211" s="85">
        <v>93485.41</v>
      </c>
      <c r="K211" s="85">
        <v>94020.02</v>
      </c>
      <c r="L211" s="85">
        <v>93318.91</v>
      </c>
      <c r="M211" s="85">
        <v>93648.320000000007</v>
      </c>
      <c r="N211" s="123">
        <v>468863228</v>
      </c>
      <c r="O211" s="112">
        <f t="shared" si="7"/>
        <v>3.8228489400127241E-3</v>
      </c>
    </row>
    <row r="212" spans="1:15">
      <c r="A212" s="121">
        <v>45604</v>
      </c>
      <c r="B212" s="103">
        <v>129.52000000000001</v>
      </c>
      <c r="C212" s="103">
        <v>130.99</v>
      </c>
      <c r="D212" s="103">
        <v>129.5</v>
      </c>
      <c r="E212" s="103">
        <v>130.19999999999999</v>
      </c>
      <c r="F212" s="104">
        <v>1436189</v>
      </c>
      <c r="G212" s="112">
        <f t="shared" si="6"/>
        <v>2.1551724137931494E-3</v>
      </c>
      <c r="I212" s="105">
        <v>45604</v>
      </c>
      <c r="J212" s="85">
        <v>92623.84</v>
      </c>
      <c r="K212" s="85">
        <v>93514.55</v>
      </c>
      <c r="L212" s="85">
        <v>92566.49</v>
      </c>
      <c r="M212" s="85">
        <v>93291.68</v>
      </c>
      <c r="N212" s="123">
        <v>362829838</v>
      </c>
      <c r="O212" s="112">
        <f t="shared" si="7"/>
        <v>8.3354517832159303E-3</v>
      </c>
    </row>
    <row r="213" spans="1:15">
      <c r="A213" s="121">
        <v>45603</v>
      </c>
      <c r="B213" s="103">
        <v>129.97</v>
      </c>
      <c r="C213" s="103">
        <v>130.5</v>
      </c>
      <c r="D213" s="103">
        <v>128.25</v>
      </c>
      <c r="E213" s="103">
        <v>129.91999999999999</v>
      </c>
      <c r="F213" s="104">
        <v>577568</v>
      </c>
      <c r="G213" s="112">
        <f t="shared" si="6"/>
        <v>1.1601650704663902E-2</v>
      </c>
      <c r="I213" s="105">
        <v>45603</v>
      </c>
      <c r="J213" s="85">
        <v>92259.48</v>
      </c>
      <c r="K213" s="85">
        <v>92694.53</v>
      </c>
      <c r="L213" s="85">
        <v>92185.69</v>
      </c>
      <c r="M213" s="85">
        <v>92520.48</v>
      </c>
      <c r="N213" s="123">
        <v>322627966</v>
      </c>
      <c r="O213" s="112">
        <f t="shared" si="7"/>
        <v>5.423084011725976E-3</v>
      </c>
    </row>
    <row r="214" spans="1:15">
      <c r="A214" s="121">
        <v>45602</v>
      </c>
      <c r="B214" s="103">
        <v>129.88999999999999</v>
      </c>
      <c r="C214" s="103">
        <v>129.88999999999999</v>
      </c>
      <c r="D214" s="103">
        <v>127.1</v>
      </c>
      <c r="E214" s="103">
        <v>128.43</v>
      </c>
      <c r="F214" s="104">
        <v>997110</v>
      </c>
      <c r="G214" s="112">
        <f t="shared" si="6"/>
        <v>1.0464201416207741E-2</v>
      </c>
      <c r="I214" s="105">
        <v>45602</v>
      </c>
      <c r="J214" s="85">
        <v>92509.759999999995</v>
      </c>
      <c r="K214" s="85">
        <v>92966.94</v>
      </c>
      <c r="L214" s="85">
        <v>91891.47</v>
      </c>
      <c r="M214" s="85">
        <v>92021.440000000002</v>
      </c>
      <c r="N214" s="123">
        <v>376319319</v>
      </c>
      <c r="O214" s="112">
        <f t="shared" si="7"/>
        <v>-3.0646452950414682E-3</v>
      </c>
    </row>
    <row r="215" spans="1:15">
      <c r="A215" s="121">
        <v>45601</v>
      </c>
      <c r="B215" s="103">
        <v>126</v>
      </c>
      <c r="C215" s="103">
        <v>128</v>
      </c>
      <c r="D215" s="103">
        <v>125.91</v>
      </c>
      <c r="E215" s="103">
        <v>127.1</v>
      </c>
      <c r="F215" s="104">
        <v>1102000</v>
      </c>
      <c r="G215" s="112">
        <f t="shared" si="6"/>
        <v>-1.2892202547374887E-2</v>
      </c>
      <c r="I215" s="105">
        <v>45601</v>
      </c>
      <c r="J215" s="85">
        <v>92510.48</v>
      </c>
      <c r="K215" s="85">
        <v>92514.3</v>
      </c>
      <c r="L215" s="85">
        <v>91536.09</v>
      </c>
      <c r="M215" s="85">
        <v>92304.320000000007</v>
      </c>
      <c r="N215" s="123">
        <v>289409252</v>
      </c>
      <c r="O215" s="112">
        <f t="shared" si="7"/>
        <v>3.9844242859319312E-3</v>
      </c>
    </row>
    <row r="216" spans="1:15">
      <c r="A216" s="121">
        <v>45600</v>
      </c>
      <c r="B216" s="103">
        <v>129.97999999999999</v>
      </c>
      <c r="C216" s="103">
        <v>130.44999999999999</v>
      </c>
      <c r="D216" s="103">
        <v>128.1</v>
      </c>
      <c r="E216" s="103">
        <v>128.76</v>
      </c>
      <c r="F216" s="104">
        <v>607740</v>
      </c>
      <c r="G216" s="112">
        <f t="shared" si="6"/>
        <v>-4.5612678778508275E-3</v>
      </c>
      <c r="I216" s="105">
        <v>45600</v>
      </c>
      <c r="J216" s="85">
        <v>91461.79</v>
      </c>
      <c r="K216" s="85">
        <v>92159.08</v>
      </c>
      <c r="L216" s="85">
        <v>91395.35</v>
      </c>
      <c r="M216" s="85">
        <v>91938</v>
      </c>
      <c r="N216" s="123">
        <v>311380974</v>
      </c>
      <c r="O216" s="112">
        <f t="shared" si="7"/>
        <v>1.1866077260748176E-2</v>
      </c>
    </row>
    <row r="217" spans="1:15">
      <c r="A217" s="121">
        <v>45597</v>
      </c>
      <c r="B217" s="103">
        <v>130</v>
      </c>
      <c r="C217" s="103">
        <v>130</v>
      </c>
      <c r="D217" s="103">
        <v>128.5</v>
      </c>
      <c r="E217" s="103">
        <v>129.35</v>
      </c>
      <c r="F217" s="104">
        <v>123932</v>
      </c>
      <c r="G217" s="112">
        <f t="shared" si="6"/>
        <v>2.4800434007594685E-3</v>
      </c>
      <c r="I217" s="105">
        <v>45597</v>
      </c>
      <c r="J217" s="85">
        <v>89292.74</v>
      </c>
      <c r="K217" s="85">
        <v>91133.28</v>
      </c>
      <c r="L217" s="85">
        <v>88852.68</v>
      </c>
      <c r="M217" s="85">
        <v>90859.85</v>
      </c>
      <c r="N217" s="123">
        <v>230034853</v>
      </c>
      <c r="O217" s="112">
        <f t="shared" si="7"/>
        <v>2.1278621363754358E-2</v>
      </c>
    </row>
    <row r="218" spans="1:15">
      <c r="A218" s="121">
        <v>45596</v>
      </c>
      <c r="B218" s="103">
        <v>129.44</v>
      </c>
      <c r="C218" s="103">
        <v>129.94999999999999</v>
      </c>
      <c r="D218" s="103">
        <v>127.31</v>
      </c>
      <c r="E218" s="103">
        <v>129.03</v>
      </c>
      <c r="F218" s="104">
        <v>483083</v>
      </c>
      <c r="G218" s="112">
        <f t="shared" si="6"/>
        <v>5.23611450942012E-2</v>
      </c>
      <c r="I218" s="105">
        <v>45596</v>
      </c>
      <c r="J218" s="85">
        <v>90459.17</v>
      </c>
      <c r="K218" s="85">
        <v>90700.23</v>
      </c>
      <c r="L218" s="85">
        <v>89063.34</v>
      </c>
      <c r="M218" s="85">
        <v>88966.76</v>
      </c>
      <c r="N218" s="123">
        <v>287735778</v>
      </c>
      <c r="O218" s="112">
        <f t="shared" si="7"/>
        <v>-1.4617901047509263E-2</v>
      </c>
    </row>
    <row r="219" spans="1:15">
      <c r="A219" s="121">
        <v>45595</v>
      </c>
      <c r="B219" s="103">
        <v>123.15</v>
      </c>
      <c r="C219" s="103">
        <v>124.45</v>
      </c>
      <c r="D219" s="103">
        <v>122.5</v>
      </c>
      <c r="E219" s="103">
        <v>122.61</v>
      </c>
      <c r="F219" s="104">
        <v>413241</v>
      </c>
      <c r="G219" s="112">
        <f t="shared" si="6"/>
        <v>-6.8848209946540395E-3</v>
      </c>
      <c r="I219" s="105">
        <v>45595</v>
      </c>
      <c r="J219" s="85">
        <v>91375.53</v>
      </c>
      <c r="K219" s="85">
        <v>91872.63</v>
      </c>
      <c r="L219" s="85">
        <v>90003.31</v>
      </c>
      <c r="M219" s="85">
        <v>90286.56</v>
      </c>
      <c r="N219" s="123">
        <v>240626754</v>
      </c>
      <c r="O219" s="112">
        <f t="shared" si="7"/>
        <v>-6.3559762718142787E-3</v>
      </c>
    </row>
    <row r="220" spans="1:15">
      <c r="A220" s="121">
        <v>45594</v>
      </c>
      <c r="B220" s="103">
        <v>127.25</v>
      </c>
      <c r="C220" s="103">
        <v>128</v>
      </c>
      <c r="D220" s="103">
        <v>123</v>
      </c>
      <c r="E220" s="103">
        <v>123.46</v>
      </c>
      <c r="F220" s="104">
        <v>1300352</v>
      </c>
      <c r="G220" s="112">
        <f t="shared" si="6"/>
        <v>-5.3075625095873602E-2</v>
      </c>
      <c r="I220" s="105">
        <v>45594</v>
      </c>
      <c r="J220" s="85">
        <v>90509.48</v>
      </c>
      <c r="K220" s="85">
        <v>91358.15</v>
      </c>
      <c r="L220" s="85">
        <v>90449.41</v>
      </c>
      <c r="M220" s="85">
        <v>90864.09</v>
      </c>
      <c r="N220" s="123">
        <v>256874960</v>
      </c>
      <c r="O220" s="112">
        <f t="shared" si="7"/>
        <v>7.4125641065725389E-3</v>
      </c>
    </row>
    <row r="221" spans="1:15">
      <c r="A221" s="121">
        <v>45593</v>
      </c>
      <c r="B221" s="103">
        <v>130.94999999999999</v>
      </c>
      <c r="C221" s="103">
        <v>131.94</v>
      </c>
      <c r="D221" s="103">
        <v>128.9</v>
      </c>
      <c r="E221" s="103">
        <v>130.38</v>
      </c>
      <c r="F221" s="104">
        <v>451442</v>
      </c>
      <c r="G221" s="112">
        <f t="shared" si="6"/>
        <v>-3.4722736358924977E-2</v>
      </c>
      <c r="I221" s="105">
        <v>45593</v>
      </c>
      <c r="J221" s="85">
        <v>90633.65</v>
      </c>
      <c r="K221" s="85">
        <v>91054.83</v>
      </c>
      <c r="L221" s="85">
        <v>89732.73</v>
      </c>
      <c r="M221" s="85">
        <v>90195.51</v>
      </c>
      <c r="N221" s="123">
        <v>267244697</v>
      </c>
      <c r="O221" s="112">
        <f t="shared" si="7"/>
        <v>2.2395947461362198E-3</v>
      </c>
    </row>
    <row r="222" spans="1:15">
      <c r="A222" s="121">
        <v>45590</v>
      </c>
      <c r="B222" s="103">
        <v>136.5</v>
      </c>
      <c r="C222" s="103">
        <v>136.5</v>
      </c>
      <c r="D222" s="103">
        <v>134.51</v>
      </c>
      <c r="E222" s="103">
        <v>135.07</v>
      </c>
      <c r="F222" s="104">
        <v>820637</v>
      </c>
      <c r="G222" s="112">
        <f t="shared" si="6"/>
        <v>1.4267477660133698E-2</v>
      </c>
      <c r="I222" s="105">
        <v>45590</v>
      </c>
      <c r="J222" s="85">
        <v>89373.82</v>
      </c>
      <c r="K222" s="85">
        <v>90593.61</v>
      </c>
      <c r="L222" s="85">
        <v>89373.82</v>
      </c>
      <c r="M222" s="85">
        <v>89993.96</v>
      </c>
      <c r="N222" s="123">
        <v>365941166</v>
      </c>
      <c r="O222" s="112">
        <f t="shared" si="7"/>
        <v>1.1782207582625048E-2</v>
      </c>
    </row>
    <row r="223" spans="1:15">
      <c r="A223" s="121">
        <v>45589</v>
      </c>
      <c r="B223" s="103">
        <v>134</v>
      </c>
      <c r="C223" s="103">
        <v>135.5</v>
      </c>
      <c r="D223" s="103">
        <v>132.16999999999999</v>
      </c>
      <c r="E223" s="103">
        <v>133.16999999999999</v>
      </c>
      <c r="F223" s="104">
        <v>568821</v>
      </c>
      <c r="G223" s="112">
        <f t="shared" si="6"/>
        <v>-2.0232489699823386E-2</v>
      </c>
      <c r="I223" s="105">
        <v>45589</v>
      </c>
      <c r="J223" s="85">
        <v>87553.63</v>
      </c>
      <c r="K223" s="85">
        <v>89126.15</v>
      </c>
      <c r="L223" s="85">
        <v>87382.04</v>
      </c>
      <c r="M223" s="85">
        <v>88945.98</v>
      </c>
      <c r="N223" s="123">
        <v>458054021</v>
      </c>
      <c r="O223" s="112">
        <f t="shared" si="7"/>
        <v>2.0086695805344723E-2</v>
      </c>
    </row>
    <row r="224" spans="1:15">
      <c r="A224" s="121">
        <v>45588</v>
      </c>
      <c r="B224" s="103">
        <v>134.94999999999999</v>
      </c>
      <c r="C224" s="103">
        <v>137.44999999999999</v>
      </c>
      <c r="D224" s="103">
        <v>134.94999999999999</v>
      </c>
      <c r="E224" s="103">
        <v>135.91999999999999</v>
      </c>
      <c r="F224" s="104">
        <v>2293654</v>
      </c>
      <c r="G224" s="112">
        <f t="shared" si="6"/>
        <v>8.7969262787160662E-2</v>
      </c>
      <c r="I224" s="105">
        <v>45588</v>
      </c>
      <c r="J224" s="85">
        <v>86667.99</v>
      </c>
      <c r="K224" s="85">
        <v>87309.22</v>
      </c>
      <c r="L224" s="85">
        <v>86284.25</v>
      </c>
      <c r="M224" s="85">
        <v>87194.53</v>
      </c>
      <c r="N224" s="123">
        <v>424366439</v>
      </c>
      <c r="O224" s="112">
        <f t="shared" si="7"/>
        <v>8.4189762586857064E-3</v>
      </c>
    </row>
    <row r="225" spans="1:15">
      <c r="A225" s="121">
        <v>45587</v>
      </c>
      <c r="B225" s="103">
        <v>124.5</v>
      </c>
      <c r="C225" s="103">
        <v>126</v>
      </c>
      <c r="D225" s="103">
        <v>124</v>
      </c>
      <c r="E225" s="103">
        <v>124.93</v>
      </c>
      <c r="F225" s="104">
        <v>881822</v>
      </c>
      <c r="G225" s="112">
        <f t="shared" si="6"/>
        <v>-1.3191153238546471E-2</v>
      </c>
      <c r="I225" s="105">
        <v>45587</v>
      </c>
      <c r="J225" s="85">
        <v>86294.7</v>
      </c>
      <c r="K225" s="85">
        <v>86846.03</v>
      </c>
      <c r="L225" s="85">
        <v>86294.69</v>
      </c>
      <c r="M225" s="85">
        <v>86466.57</v>
      </c>
      <c r="N225" s="123">
        <v>415551315</v>
      </c>
      <c r="O225" s="112">
        <f t="shared" si="7"/>
        <v>4.7533329746585196E-3</v>
      </c>
    </row>
    <row r="226" spans="1:15">
      <c r="A226" s="121">
        <v>45586</v>
      </c>
      <c r="B226" s="103">
        <v>125.8</v>
      </c>
      <c r="C226" s="103">
        <v>128.25</v>
      </c>
      <c r="D226" s="103">
        <v>125.01</v>
      </c>
      <c r="E226" s="103">
        <v>126.6</v>
      </c>
      <c r="F226" s="104">
        <v>1281995</v>
      </c>
      <c r="G226" s="112">
        <f t="shared" si="6"/>
        <v>6.0394151303242438E-3</v>
      </c>
      <c r="I226" s="105">
        <v>45586</v>
      </c>
      <c r="J226" s="85">
        <v>85353.34</v>
      </c>
      <c r="K226" s="85">
        <v>86172.79</v>
      </c>
      <c r="L226" s="85">
        <v>85349.32</v>
      </c>
      <c r="M226" s="85">
        <v>86057.51</v>
      </c>
      <c r="N226" s="123">
        <v>240442007</v>
      </c>
      <c r="O226" s="112">
        <f t="shared" si="7"/>
        <v>9.4711923471282322E-3</v>
      </c>
    </row>
    <row r="227" spans="1:15">
      <c r="A227" s="121">
        <v>45583</v>
      </c>
      <c r="B227" s="103">
        <v>126</v>
      </c>
      <c r="C227" s="103">
        <v>127.85</v>
      </c>
      <c r="D227" s="103">
        <v>123.55</v>
      </c>
      <c r="E227" s="103">
        <v>125.84</v>
      </c>
      <c r="F227" s="104">
        <v>3083550</v>
      </c>
      <c r="G227" s="112">
        <f t="shared" si="6"/>
        <v>4.1493775933609811E-3</v>
      </c>
      <c r="I227" s="105">
        <v>45583</v>
      </c>
      <c r="J227" s="85">
        <v>85638.58</v>
      </c>
      <c r="K227" s="85">
        <v>85773.82</v>
      </c>
      <c r="L227" s="85">
        <v>85120.9</v>
      </c>
      <c r="M227" s="85">
        <v>85250.09</v>
      </c>
      <c r="N227" s="123">
        <v>152919391</v>
      </c>
      <c r="O227" s="112">
        <f t="shared" si="7"/>
        <v>-3.9181902807521318E-3</v>
      </c>
    </row>
    <row r="228" spans="1:15">
      <c r="A228" s="121">
        <v>45582</v>
      </c>
      <c r="B228" s="103">
        <v>122.5</v>
      </c>
      <c r="C228" s="103">
        <v>129.19999999999999</v>
      </c>
      <c r="D228" s="103">
        <v>121.02</v>
      </c>
      <c r="E228" s="103">
        <v>125.32</v>
      </c>
      <c r="F228" s="104">
        <v>3305701</v>
      </c>
      <c r="G228" s="112">
        <f t="shared" si="6"/>
        <v>6.7098092643051777E-2</v>
      </c>
      <c r="I228" s="105">
        <v>45582</v>
      </c>
      <c r="J228" s="85">
        <v>86439.57</v>
      </c>
      <c r="K228" s="85">
        <v>86520.29</v>
      </c>
      <c r="L228" s="85">
        <v>85539.19</v>
      </c>
      <c r="M228" s="85">
        <v>85585.43</v>
      </c>
      <c r="N228" s="123">
        <v>219878282</v>
      </c>
      <c r="O228" s="112">
        <f t="shared" si="7"/>
        <v>-7.1947712017982335E-3</v>
      </c>
    </row>
    <row r="229" spans="1:15">
      <c r="A229" s="121">
        <v>45581</v>
      </c>
      <c r="B229" s="103">
        <v>117.05</v>
      </c>
      <c r="C229" s="103">
        <v>120</v>
      </c>
      <c r="D229" s="103">
        <v>116.9</v>
      </c>
      <c r="E229" s="103">
        <v>117.44</v>
      </c>
      <c r="F229" s="104">
        <v>238583</v>
      </c>
      <c r="G229" s="112">
        <f t="shared" si="6"/>
        <v>6.7723960565795327E-3</v>
      </c>
      <c r="I229" s="105">
        <v>45581</v>
      </c>
      <c r="J229" s="85">
        <v>86060.69</v>
      </c>
      <c r="K229" s="85">
        <v>86513.46</v>
      </c>
      <c r="L229" s="85">
        <v>85948.05</v>
      </c>
      <c r="M229" s="85">
        <v>86205.66</v>
      </c>
      <c r="N229" s="123">
        <v>259491201</v>
      </c>
      <c r="O229" s="112">
        <f t="shared" si="7"/>
        <v>4.2558079336592058E-3</v>
      </c>
    </row>
    <row r="230" spans="1:15">
      <c r="A230" s="121">
        <v>45580</v>
      </c>
      <c r="B230" s="103">
        <v>118.7</v>
      </c>
      <c r="C230" s="103">
        <v>118.7</v>
      </c>
      <c r="D230" s="103">
        <v>116</v>
      </c>
      <c r="E230" s="103">
        <v>116.65</v>
      </c>
      <c r="F230" s="104">
        <v>179011</v>
      </c>
      <c r="G230" s="112">
        <f t="shared" si="6"/>
        <v>1.4789038712483604E-2</v>
      </c>
      <c r="I230" s="105">
        <v>45580</v>
      </c>
      <c r="J230" s="85">
        <v>85264.93</v>
      </c>
      <c r="K230" s="85">
        <v>85893.99</v>
      </c>
      <c r="L230" s="85">
        <v>84856.21</v>
      </c>
      <c r="M230" s="85">
        <v>85840.34</v>
      </c>
      <c r="N230" s="123">
        <v>251622002</v>
      </c>
      <c r="O230" s="112">
        <f t="shared" si="7"/>
        <v>6.7904131976281867E-3</v>
      </c>
    </row>
    <row r="231" spans="1:15">
      <c r="A231" s="121">
        <v>45579</v>
      </c>
      <c r="B231" s="103">
        <v>117.89</v>
      </c>
      <c r="C231" s="103">
        <v>117.89</v>
      </c>
      <c r="D231" s="103">
        <v>114.5</v>
      </c>
      <c r="E231" s="103">
        <v>114.95</v>
      </c>
      <c r="F231" s="104">
        <v>272428</v>
      </c>
      <c r="G231" s="112">
        <f t="shared" si="6"/>
        <v>-2.6095060577819185E-2</v>
      </c>
      <c r="I231" s="105">
        <v>45579</v>
      </c>
      <c r="J231" s="85">
        <v>85596.9</v>
      </c>
      <c r="K231" s="85">
        <v>86105.02</v>
      </c>
      <c r="L231" s="85">
        <v>85156.11</v>
      </c>
      <c r="M231" s="85">
        <v>85261.38</v>
      </c>
      <c r="N231" s="123">
        <v>263517705</v>
      </c>
      <c r="O231" s="112">
        <f t="shared" si="7"/>
        <v>-2.5972294036034071E-3</v>
      </c>
    </row>
    <row r="232" spans="1:15">
      <c r="A232" s="121">
        <v>45576</v>
      </c>
      <c r="B232" s="103">
        <v>120</v>
      </c>
      <c r="C232" s="103">
        <v>120</v>
      </c>
      <c r="D232" s="103">
        <v>117</v>
      </c>
      <c r="E232" s="103">
        <v>118.03</v>
      </c>
      <c r="F232" s="104">
        <v>655363</v>
      </c>
      <c r="G232" s="112">
        <f t="shared" si="6"/>
        <v>-4.575956019079952E-2</v>
      </c>
      <c r="I232" s="105">
        <v>45576</v>
      </c>
      <c r="J232" s="85">
        <v>85432.84</v>
      </c>
      <c r="K232" s="85">
        <v>85750.18</v>
      </c>
      <c r="L232" s="85">
        <v>84774.45</v>
      </c>
      <c r="M232" s="85">
        <v>85483.4</v>
      </c>
      <c r="N232" s="123">
        <v>295018853</v>
      </c>
      <c r="O232" s="112">
        <f t="shared" si="7"/>
        <v>3.5317569074622135E-4</v>
      </c>
    </row>
    <row r="233" spans="1:15">
      <c r="A233" s="121">
        <v>45575</v>
      </c>
      <c r="B233" s="103">
        <v>123.34</v>
      </c>
      <c r="C233" s="103">
        <v>124.8</v>
      </c>
      <c r="D233" s="103">
        <v>122.33</v>
      </c>
      <c r="E233" s="103">
        <v>123.69</v>
      </c>
      <c r="F233" s="104">
        <v>264991</v>
      </c>
      <c r="G233" s="112">
        <f t="shared" si="6"/>
        <v>3.2815631262524958E-2</v>
      </c>
      <c r="I233" s="105">
        <v>45575</v>
      </c>
      <c r="J233" s="85">
        <v>85743.41</v>
      </c>
      <c r="K233" s="85">
        <v>86013.46</v>
      </c>
      <c r="L233" s="85">
        <v>85425.74</v>
      </c>
      <c r="M233" s="85">
        <v>85453.22</v>
      </c>
      <c r="N233" s="123">
        <v>293943274</v>
      </c>
      <c r="O233" s="112">
        <f t="shared" si="7"/>
        <v>-2.521907797276679E-3</v>
      </c>
    </row>
    <row r="234" spans="1:15">
      <c r="A234" s="121">
        <v>45574</v>
      </c>
      <c r="B234" s="103">
        <v>119.5</v>
      </c>
      <c r="C234" s="103">
        <v>120.89</v>
      </c>
      <c r="D234" s="103">
        <v>118.45</v>
      </c>
      <c r="E234" s="103">
        <v>119.76</v>
      </c>
      <c r="F234" s="104">
        <v>877093</v>
      </c>
      <c r="G234" s="112">
        <f t="shared" si="6"/>
        <v>4.7822803926504953E-3</v>
      </c>
      <c r="I234" s="105">
        <v>45574</v>
      </c>
      <c r="J234" s="85">
        <v>85823.81</v>
      </c>
      <c r="K234" s="85">
        <v>86451.42</v>
      </c>
      <c r="L234" s="85">
        <v>85444.3</v>
      </c>
      <c r="M234" s="85">
        <v>85669.27</v>
      </c>
      <c r="N234" s="123">
        <v>349287138</v>
      </c>
      <c r="O234" s="112">
        <f t="shared" si="7"/>
        <v>6.1869651850177121E-5</v>
      </c>
    </row>
    <row r="235" spans="1:15">
      <c r="A235" s="121">
        <v>45573</v>
      </c>
      <c r="B235" s="103">
        <v>122.89</v>
      </c>
      <c r="C235" s="103">
        <v>122.89</v>
      </c>
      <c r="D235" s="103">
        <v>117.95</v>
      </c>
      <c r="E235" s="103">
        <v>119.19</v>
      </c>
      <c r="F235" s="104">
        <v>783257</v>
      </c>
      <c r="G235" s="112">
        <f t="shared" si="6"/>
        <v>-2.1026694045174543E-2</v>
      </c>
      <c r="I235" s="105">
        <v>45573</v>
      </c>
      <c r="J235" s="85">
        <v>84905.56</v>
      </c>
      <c r="K235" s="85">
        <v>85824.27</v>
      </c>
      <c r="L235" s="85">
        <v>84897.98</v>
      </c>
      <c r="M235" s="85">
        <v>85663.97</v>
      </c>
      <c r="N235" s="123">
        <v>283714499</v>
      </c>
      <c r="O235" s="112">
        <f t="shared" si="7"/>
        <v>8.8761915664168356E-3</v>
      </c>
    </row>
    <row r="236" spans="1:15">
      <c r="A236" s="121">
        <v>45572</v>
      </c>
      <c r="B236" s="103">
        <v>123</v>
      </c>
      <c r="C236" s="103">
        <v>124.8</v>
      </c>
      <c r="D236" s="103">
        <v>120.85</v>
      </c>
      <c r="E236" s="103">
        <v>121.75</v>
      </c>
      <c r="F236" s="104">
        <v>1493603</v>
      </c>
      <c r="G236" s="112">
        <f t="shared" si="6"/>
        <v>1.925491837588944E-2</v>
      </c>
      <c r="I236" s="105">
        <v>45572</v>
      </c>
      <c r="J236" s="85">
        <v>83651.990000000005</v>
      </c>
      <c r="K236" s="85">
        <v>85047.81</v>
      </c>
      <c r="L236" s="85">
        <v>83303.539999999994</v>
      </c>
      <c r="M236" s="85">
        <v>84910.29</v>
      </c>
      <c r="N236" s="123">
        <v>281013466</v>
      </c>
      <c r="O236" s="112">
        <f t="shared" si="7"/>
        <v>1.6500752107427186E-2</v>
      </c>
    </row>
    <row r="237" spans="1:15">
      <c r="A237" s="121">
        <v>45569</v>
      </c>
      <c r="B237" s="103">
        <v>124.49</v>
      </c>
      <c r="C237" s="103">
        <v>124.49</v>
      </c>
      <c r="D237" s="103">
        <v>118.1</v>
      </c>
      <c r="E237" s="103">
        <v>119.45</v>
      </c>
      <c r="F237" s="104">
        <v>3485611</v>
      </c>
      <c r="G237" s="112">
        <f t="shared" si="6"/>
        <v>-0.11446363703758611</v>
      </c>
      <c r="I237" s="105">
        <v>45569</v>
      </c>
      <c r="J237" s="85">
        <v>82804.3</v>
      </c>
      <c r="K237" s="85">
        <v>83605.72</v>
      </c>
      <c r="L237" s="85">
        <v>82594.789999999994</v>
      </c>
      <c r="M237" s="85">
        <v>83531.95</v>
      </c>
      <c r="N237" s="123">
        <v>173692831</v>
      </c>
      <c r="O237" s="112">
        <f t="shared" si="7"/>
        <v>9.7941581513740772E-3</v>
      </c>
    </row>
    <row r="238" spans="1:15">
      <c r="A238" s="121">
        <v>45568</v>
      </c>
      <c r="B238" s="103">
        <v>134.5</v>
      </c>
      <c r="C238" s="103">
        <v>136.25</v>
      </c>
      <c r="D238" s="103">
        <v>133.49</v>
      </c>
      <c r="E238" s="103">
        <v>134.88999999999999</v>
      </c>
      <c r="F238" s="104">
        <v>1051682</v>
      </c>
      <c r="G238" s="112">
        <f t="shared" si="6"/>
        <v>-2.3385461917173611E-2</v>
      </c>
      <c r="I238" s="105">
        <v>45568</v>
      </c>
      <c r="J238" s="85">
        <v>82076.34</v>
      </c>
      <c r="K238" s="85">
        <v>82958.73</v>
      </c>
      <c r="L238" s="85">
        <v>81981.5</v>
      </c>
      <c r="M238" s="85">
        <v>82721.759999999995</v>
      </c>
      <c r="N238" s="123">
        <v>159625475</v>
      </c>
      <c r="O238" s="112">
        <f t="shared" si="7"/>
        <v>9.2080959410494323E-3</v>
      </c>
    </row>
    <row r="239" spans="1:15">
      <c r="A239" s="121">
        <v>45567</v>
      </c>
      <c r="B239" s="103">
        <v>139.94999999999999</v>
      </c>
      <c r="C239" s="103">
        <v>140</v>
      </c>
      <c r="D239" s="103">
        <v>137.69999999999999</v>
      </c>
      <c r="E239" s="103">
        <v>138.12</v>
      </c>
      <c r="F239" s="104">
        <v>1416273</v>
      </c>
      <c r="G239" s="112">
        <f t="shared" si="6"/>
        <v>-2.2159292035398237E-2</v>
      </c>
      <c r="I239" s="105">
        <v>45567</v>
      </c>
      <c r="J239" s="85">
        <v>81706.429999999993</v>
      </c>
      <c r="K239" s="85">
        <v>82360.28</v>
      </c>
      <c r="L239" s="85">
        <v>81529.45</v>
      </c>
      <c r="M239" s="85">
        <v>81967</v>
      </c>
      <c r="N239" s="123">
        <v>154646093</v>
      </c>
      <c r="O239" s="112">
        <f t="shared" si="7"/>
        <v>1.9853409203567374E-3</v>
      </c>
    </row>
    <row r="240" spans="1:15">
      <c r="A240" s="121">
        <v>45566</v>
      </c>
      <c r="B240" s="103">
        <v>142.47</v>
      </c>
      <c r="C240" s="103">
        <v>142.69</v>
      </c>
      <c r="D240" s="103">
        <v>140.9</v>
      </c>
      <c r="E240" s="103">
        <v>141.25</v>
      </c>
      <c r="F240" s="104">
        <v>1750088</v>
      </c>
      <c r="G240" s="112">
        <f t="shared" si="6"/>
        <v>-1.9783791422313124E-3</v>
      </c>
      <c r="I240" s="105">
        <v>45566</v>
      </c>
      <c r="J240" s="85">
        <v>81199.429999999993</v>
      </c>
      <c r="K240" s="85">
        <v>81980.36</v>
      </c>
      <c r="L240" s="85">
        <v>81119.240000000005</v>
      </c>
      <c r="M240" s="85">
        <v>81804.59</v>
      </c>
      <c r="N240" s="123">
        <v>191149995</v>
      </c>
      <c r="O240" s="112">
        <f t="shared" si="7"/>
        <v>8.5113334040156641E-3</v>
      </c>
    </row>
    <row r="241" spans="1:15">
      <c r="A241" s="121">
        <v>45565</v>
      </c>
      <c r="B241" s="103">
        <v>143</v>
      </c>
      <c r="C241" s="103">
        <v>143.49</v>
      </c>
      <c r="D241" s="103">
        <v>141.01</v>
      </c>
      <c r="E241" s="103">
        <v>141.53</v>
      </c>
      <c r="F241" s="104">
        <v>1214394</v>
      </c>
      <c r="G241" s="112">
        <f t="shared" si="6"/>
        <v>3.9012625904384368E-3</v>
      </c>
      <c r="I241" s="105">
        <v>45565</v>
      </c>
      <c r="J241" s="85">
        <v>81271.08</v>
      </c>
      <c r="K241" s="85">
        <v>81321.63</v>
      </c>
      <c r="L241" s="85">
        <v>80352.22</v>
      </c>
      <c r="M241" s="85">
        <v>81114.2</v>
      </c>
      <c r="N241" s="123">
        <v>116757310</v>
      </c>
      <c r="O241" s="112">
        <f t="shared" si="7"/>
        <v>-2.1887727631200171E-3</v>
      </c>
    </row>
    <row r="242" spans="1:15">
      <c r="A242" s="121">
        <v>45562</v>
      </c>
      <c r="B242" s="103">
        <v>141.15</v>
      </c>
      <c r="C242" s="103">
        <v>142.25</v>
      </c>
      <c r="D242" s="103">
        <v>140.1</v>
      </c>
      <c r="E242" s="103">
        <v>140.97999999999999</v>
      </c>
      <c r="F242" s="104">
        <v>1681485</v>
      </c>
      <c r="G242" s="112">
        <f t="shared" si="6"/>
        <v>7.2158319639921142E-3</v>
      </c>
      <c r="I242" s="105">
        <v>45562</v>
      </c>
      <c r="J242" s="85">
        <v>81737.61</v>
      </c>
      <c r="K242" s="85">
        <v>81842.740000000005</v>
      </c>
      <c r="L242" s="85">
        <v>81183.5</v>
      </c>
      <c r="M242" s="85">
        <v>81292.13</v>
      </c>
      <c r="N242" s="123">
        <v>153487760</v>
      </c>
      <c r="O242" s="112">
        <f t="shared" si="7"/>
        <v>-4.4800286463193562E-3</v>
      </c>
    </row>
    <row r="243" spans="1:15">
      <c r="A243" s="121">
        <v>45561</v>
      </c>
      <c r="B243" s="103">
        <v>141.5</v>
      </c>
      <c r="C243" s="103">
        <v>141.9</v>
      </c>
      <c r="D243" s="103">
        <v>138.9</v>
      </c>
      <c r="E243" s="103">
        <v>139.97</v>
      </c>
      <c r="F243" s="104">
        <v>3562029</v>
      </c>
      <c r="G243" s="112">
        <f t="shared" si="6"/>
        <v>4.6348209613515712E-2</v>
      </c>
      <c r="I243" s="105">
        <v>45561</v>
      </c>
      <c r="J243" s="85">
        <v>82752.070000000007</v>
      </c>
      <c r="K243" s="85">
        <v>82905.73</v>
      </c>
      <c r="L243" s="85">
        <v>81552.66</v>
      </c>
      <c r="M243" s="85">
        <v>81657.960000000006</v>
      </c>
      <c r="N243" s="123">
        <v>152660215</v>
      </c>
      <c r="O243" s="112">
        <f t="shared" si="7"/>
        <v>-7.1728266408228603E-3</v>
      </c>
    </row>
    <row r="244" spans="1:15">
      <c r="A244" s="121">
        <v>45560</v>
      </c>
      <c r="B244" s="103">
        <v>134.1</v>
      </c>
      <c r="C244" s="103">
        <v>135</v>
      </c>
      <c r="D244" s="103">
        <v>132.30000000000001</v>
      </c>
      <c r="E244" s="103">
        <v>133.77000000000001</v>
      </c>
      <c r="F244" s="104">
        <v>3395212</v>
      </c>
      <c r="G244" s="112">
        <f t="shared" si="6"/>
        <v>-7.2727272727272085E-3</v>
      </c>
      <c r="I244" s="105">
        <v>45560</v>
      </c>
      <c r="J244" s="85">
        <v>81643.5</v>
      </c>
      <c r="K244" s="85">
        <v>82331.850000000006</v>
      </c>
      <c r="L244" s="85">
        <v>81524.41</v>
      </c>
      <c r="M244" s="85">
        <v>82247.91</v>
      </c>
      <c r="N244" s="123">
        <v>155310370</v>
      </c>
      <c r="O244" s="112">
        <f t="shared" si="7"/>
        <v>9.3794288031314732E-3</v>
      </c>
    </row>
    <row r="245" spans="1:15">
      <c r="A245" s="121">
        <v>45559</v>
      </c>
      <c r="B245" s="103">
        <v>135.68</v>
      </c>
      <c r="C245" s="103">
        <v>136</v>
      </c>
      <c r="D245" s="103">
        <v>133.9</v>
      </c>
      <c r="E245" s="103">
        <v>134.75</v>
      </c>
      <c r="F245" s="104">
        <v>2568625</v>
      </c>
      <c r="G245" s="112">
        <f t="shared" si="6"/>
        <v>1.263189181156088E-3</v>
      </c>
      <c r="I245" s="105">
        <v>45559</v>
      </c>
      <c r="J245" s="85">
        <v>81873.63</v>
      </c>
      <c r="K245" s="85">
        <v>82010.09</v>
      </c>
      <c r="L245" s="85">
        <v>81107.38</v>
      </c>
      <c r="M245" s="85">
        <v>81483.64</v>
      </c>
      <c r="N245" s="123">
        <v>148622968</v>
      </c>
      <c r="O245" s="112">
        <f t="shared" si="7"/>
        <v>-4.4820740252045077E-3</v>
      </c>
    </row>
    <row r="246" spans="1:15">
      <c r="A246" s="121">
        <v>45558</v>
      </c>
      <c r="B246" s="103">
        <v>136.5</v>
      </c>
      <c r="C246" s="103">
        <v>136.5</v>
      </c>
      <c r="D246" s="103">
        <v>134.02000000000001</v>
      </c>
      <c r="E246" s="103">
        <v>134.58000000000001</v>
      </c>
      <c r="F246" s="104">
        <v>4756264</v>
      </c>
      <c r="G246" s="112">
        <f t="shared" si="6"/>
        <v>9.7539015606242785E-3</v>
      </c>
      <c r="I246" s="105">
        <v>45558</v>
      </c>
      <c r="J246" s="85">
        <v>82113.42</v>
      </c>
      <c r="K246" s="85">
        <v>82463.05</v>
      </c>
      <c r="L246" s="85">
        <v>81548.639999999999</v>
      </c>
      <c r="M246" s="85">
        <v>81850.5</v>
      </c>
      <c r="N246" s="123">
        <v>162998707</v>
      </c>
      <c r="O246" s="112">
        <f t="shared" si="7"/>
        <v>-2.728498665357959E-3</v>
      </c>
    </row>
    <row r="247" spans="1:15">
      <c r="A247" s="121">
        <v>45555</v>
      </c>
      <c r="B247" s="103">
        <v>133</v>
      </c>
      <c r="C247" s="103">
        <v>133.79</v>
      </c>
      <c r="D247" s="103">
        <v>132.61000000000001</v>
      </c>
      <c r="E247" s="103">
        <v>133.28</v>
      </c>
      <c r="F247" s="104">
        <v>3131914</v>
      </c>
      <c r="G247" s="112">
        <f t="shared" si="6"/>
        <v>2.2634849996163497E-2</v>
      </c>
      <c r="I247" s="105">
        <v>45555</v>
      </c>
      <c r="J247" s="85">
        <v>81694.98</v>
      </c>
      <c r="K247" s="85">
        <v>82372.19</v>
      </c>
      <c r="L247" s="85">
        <v>81387.570000000007</v>
      </c>
      <c r="M247" s="85">
        <v>82074.44</v>
      </c>
      <c r="N247" s="123">
        <v>243550905</v>
      </c>
      <c r="O247" s="112">
        <f t="shared" si="7"/>
        <v>7.5517485546152674E-3</v>
      </c>
    </row>
    <row r="248" spans="1:15">
      <c r="A248" s="121">
        <v>45554</v>
      </c>
      <c r="B248" s="103">
        <v>130.01</v>
      </c>
      <c r="C248" s="103">
        <v>131.19999999999999</v>
      </c>
      <c r="D248" s="103">
        <v>129</v>
      </c>
      <c r="E248" s="103">
        <v>130.33000000000001</v>
      </c>
      <c r="F248" s="104">
        <v>3312481</v>
      </c>
      <c r="G248" s="112">
        <f t="shared" si="6"/>
        <v>1.6138948662773878E-3</v>
      </c>
      <c r="I248" s="105">
        <v>45554</v>
      </c>
      <c r="J248" s="85">
        <v>80802.77</v>
      </c>
      <c r="K248" s="85">
        <v>82003.58</v>
      </c>
      <c r="L248" s="85">
        <v>80680.23</v>
      </c>
      <c r="M248" s="85">
        <v>81459.28</v>
      </c>
      <c r="N248" s="123">
        <v>184890999</v>
      </c>
      <c r="O248" s="112">
        <f t="shared" si="7"/>
        <v>1.2402852401271591E-2</v>
      </c>
    </row>
    <row r="249" spans="1:15">
      <c r="A249" s="121">
        <v>45553</v>
      </c>
      <c r="B249" s="103">
        <v>130.44</v>
      </c>
      <c r="C249" s="103">
        <v>130.75</v>
      </c>
      <c r="D249" s="103">
        <v>129.25</v>
      </c>
      <c r="E249" s="103">
        <v>130.12</v>
      </c>
      <c r="F249" s="104">
        <v>2735504</v>
      </c>
      <c r="G249" s="112">
        <f t="shared" si="6"/>
        <v>1.2055689507661338E-2</v>
      </c>
      <c r="I249" s="105">
        <v>45553</v>
      </c>
      <c r="J249" s="85">
        <v>79884.41</v>
      </c>
      <c r="K249" s="85">
        <v>80587.44</v>
      </c>
      <c r="L249" s="85">
        <v>79798.75</v>
      </c>
      <c r="M249" s="85">
        <v>80461.33</v>
      </c>
      <c r="N249" s="123">
        <v>148581053</v>
      </c>
      <c r="O249" s="112">
        <f t="shared" si="7"/>
        <v>1.2205135340257467E-2</v>
      </c>
    </row>
    <row r="250" spans="1:15">
      <c r="A250" s="121">
        <v>45551</v>
      </c>
      <c r="B250" s="103">
        <v>130.88</v>
      </c>
      <c r="C250" s="103">
        <v>130.88</v>
      </c>
      <c r="D250" s="103">
        <v>126.76</v>
      </c>
      <c r="E250" s="103">
        <v>128.57</v>
      </c>
      <c r="F250" s="104">
        <v>2378928</v>
      </c>
      <c r="G250" s="112">
        <f t="shared" si="6"/>
        <v>-1.5317454239105466E-2</v>
      </c>
      <c r="I250" s="105">
        <v>45551</v>
      </c>
      <c r="J250" s="85">
        <v>79682.100000000006</v>
      </c>
      <c r="K250" s="85">
        <v>79993.17</v>
      </c>
      <c r="L250" s="85">
        <v>79368.179999999993</v>
      </c>
      <c r="M250" s="85">
        <v>79491.13</v>
      </c>
      <c r="N250" s="123">
        <v>152285179</v>
      </c>
      <c r="O250" s="112">
        <f t="shared" si="7"/>
        <v>1.9926121584887824E-3</v>
      </c>
    </row>
    <row r="251" spans="1:15">
      <c r="A251" s="121">
        <v>45548</v>
      </c>
      <c r="B251" s="103">
        <v>131.44999999999999</v>
      </c>
      <c r="C251" s="103">
        <v>132.44999999999999</v>
      </c>
      <c r="D251" s="103">
        <v>130.05000000000001</v>
      </c>
      <c r="E251" s="103">
        <v>130.57</v>
      </c>
      <c r="F251" s="104">
        <v>1828356</v>
      </c>
      <c r="G251" s="112">
        <f t="shared" si="6"/>
        <v>2.7647646110129376E-3</v>
      </c>
      <c r="I251" s="105">
        <v>45548</v>
      </c>
      <c r="J251" s="85">
        <v>79912.34</v>
      </c>
      <c r="K251" s="85">
        <v>80016.73</v>
      </c>
      <c r="L251" s="85">
        <v>79262.720000000001</v>
      </c>
      <c r="M251" s="85">
        <v>79333.05</v>
      </c>
      <c r="N251" s="123">
        <v>191853803</v>
      </c>
      <c r="O251" s="112">
        <f t="shared" si="7"/>
        <v>3.9920215253284042E-3</v>
      </c>
    </row>
    <row r="252" spans="1:15">
      <c r="A252" s="121">
        <v>45547</v>
      </c>
      <c r="B252" s="103">
        <v>128.1</v>
      </c>
      <c r="C252" s="103">
        <v>130.94</v>
      </c>
      <c r="D252" s="103">
        <v>128.02000000000001</v>
      </c>
      <c r="E252" s="103">
        <v>130.21</v>
      </c>
      <c r="F252" s="104">
        <v>2644077</v>
      </c>
      <c r="G252" s="112">
        <f t="shared" si="6"/>
        <v>3.3658807652615863E-2</v>
      </c>
      <c r="I252" s="105">
        <v>45547</v>
      </c>
      <c r="J252" s="85">
        <v>78843.06</v>
      </c>
      <c r="K252" s="85">
        <v>79217.61</v>
      </c>
      <c r="L252" s="85">
        <v>78577.649999999994</v>
      </c>
      <c r="M252" s="85">
        <v>79017.61</v>
      </c>
      <c r="N252" s="123">
        <v>132750010</v>
      </c>
      <c r="O252" s="112">
        <f t="shared" si="7"/>
        <v>4.6511338139920699E-3</v>
      </c>
    </row>
    <row r="253" spans="1:15">
      <c r="A253" s="121">
        <v>45546</v>
      </c>
      <c r="B253" s="103">
        <v>129.99</v>
      </c>
      <c r="C253" s="103">
        <v>130</v>
      </c>
      <c r="D253" s="103">
        <v>125.25</v>
      </c>
      <c r="E253" s="103">
        <v>125.97</v>
      </c>
      <c r="F253" s="104">
        <v>978768</v>
      </c>
      <c r="G253" s="112">
        <f t="shared" si="6"/>
        <v>-9.2304366623432776E-2</v>
      </c>
      <c r="I253" s="105">
        <v>45546</v>
      </c>
      <c r="J253" s="85">
        <v>79428.490000000005</v>
      </c>
      <c r="K253" s="85">
        <v>79507.17</v>
      </c>
      <c r="L253" s="85">
        <v>78612.160000000003</v>
      </c>
      <c r="M253" s="85">
        <v>78651.789999999994</v>
      </c>
      <c r="N253" s="123">
        <v>146516672</v>
      </c>
      <c r="O253" s="112">
        <f t="shared" si="7"/>
        <v>-8.0081496613619851E-3</v>
      </c>
    </row>
    <row r="254" spans="1:15">
      <c r="A254" s="121">
        <v>45545</v>
      </c>
      <c r="B254" s="103">
        <v>139.5</v>
      </c>
      <c r="C254" s="103">
        <v>139.80000000000001</v>
      </c>
      <c r="D254" s="103">
        <v>137.5</v>
      </c>
      <c r="E254" s="103">
        <v>138.78</v>
      </c>
      <c r="F254" s="104">
        <v>431583</v>
      </c>
      <c r="G254" s="112">
        <f t="shared" si="6"/>
        <v>7.0386764385748091E-3</v>
      </c>
      <c r="I254" s="105">
        <v>45545</v>
      </c>
      <c r="J254" s="85">
        <v>78776.77</v>
      </c>
      <c r="K254" s="85">
        <v>79335.59</v>
      </c>
      <c r="L254" s="85">
        <v>78642.86</v>
      </c>
      <c r="M254" s="85">
        <v>79286.73</v>
      </c>
      <c r="N254" s="123">
        <v>121335086</v>
      </c>
      <c r="O254" s="112">
        <f t="shared" si="7"/>
        <v>8.5445525663041533E-3</v>
      </c>
    </row>
    <row r="255" spans="1:15">
      <c r="A255" s="121">
        <v>45544</v>
      </c>
      <c r="B255" s="103">
        <v>138.5</v>
      </c>
      <c r="C255" s="103">
        <v>139.99</v>
      </c>
      <c r="D255" s="103">
        <v>135.41999999999999</v>
      </c>
      <c r="E255" s="103">
        <v>137.81</v>
      </c>
      <c r="F255" s="104">
        <v>899791</v>
      </c>
      <c r="G255" s="112">
        <f t="shared" si="6"/>
        <v>3.0740463724757028E-2</v>
      </c>
      <c r="I255" s="105">
        <v>45544</v>
      </c>
      <c r="J255" s="85">
        <v>79117.78</v>
      </c>
      <c r="K255" s="85">
        <v>79214.27</v>
      </c>
      <c r="L255" s="85">
        <v>78545.679999999993</v>
      </c>
      <c r="M255" s="85">
        <v>78615</v>
      </c>
      <c r="N255" s="123">
        <v>90272467</v>
      </c>
      <c r="O255" s="112">
        <f t="shared" si="7"/>
        <v>-3.5833735119341625E-3</v>
      </c>
    </row>
    <row r="256" spans="1:15">
      <c r="A256" s="121">
        <v>45541</v>
      </c>
      <c r="B256" s="103">
        <v>136.65</v>
      </c>
      <c r="C256" s="103">
        <v>138.30000000000001</v>
      </c>
      <c r="D256" s="103">
        <v>133</v>
      </c>
      <c r="E256" s="103">
        <v>133.69999999999999</v>
      </c>
      <c r="F256" s="104">
        <v>1084637</v>
      </c>
      <c r="G256" s="112">
        <f t="shared" si="6"/>
        <v>3.1556207082786614E-2</v>
      </c>
      <c r="I256" s="105">
        <v>45541</v>
      </c>
      <c r="J256" s="85">
        <v>79009.84</v>
      </c>
      <c r="K256" s="85">
        <v>79254.25</v>
      </c>
      <c r="L256" s="85">
        <v>78917.289999999994</v>
      </c>
      <c r="M256" s="85">
        <v>78897.72</v>
      </c>
      <c r="N256" s="123">
        <v>141866198</v>
      </c>
      <c r="O256" s="112">
        <f t="shared" si="7"/>
        <v>4.3594400135726907E-4</v>
      </c>
    </row>
    <row r="257" spans="1:15">
      <c r="A257" s="121">
        <v>45540</v>
      </c>
      <c r="B257" s="103">
        <v>131.88</v>
      </c>
      <c r="C257" s="103">
        <v>131.88</v>
      </c>
      <c r="D257" s="103">
        <v>128</v>
      </c>
      <c r="E257" s="103">
        <v>129.61000000000001</v>
      </c>
      <c r="F257" s="104">
        <v>514826</v>
      </c>
      <c r="G257" s="112">
        <f t="shared" si="6"/>
        <v>4.3394033320418579E-3</v>
      </c>
      <c r="I257" s="105">
        <v>45540</v>
      </c>
      <c r="J257" s="85">
        <v>79024.52</v>
      </c>
      <c r="K257" s="85">
        <v>79154.289999999994</v>
      </c>
      <c r="L257" s="85">
        <v>78578.009999999995</v>
      </c>
      <c r="M257" s="85">
        <v>78863.34</v>
      </c>
      <c r="N257" s="123">
        <v>132198352</v>
      </c>
      <c r="O257" s="112">
        <f t="shared" si="7"/>
        <v>1.944246912508607E-4</v>
      </c>
    </row>
    <row r="258" spans="1:15">
      <c r="A258" s="121">
        <v>45539</v>
      </c>
      <c r="B258" s="103">
        <v>133.44</v>
      </c>
      <c r="C258" s="103">
        <v>134</v>
      </c>
      <c r="D258" s="103">
        <v>127.32</v>
      </c>
      <c r="E258" s="103">
        <v>129.05000000000001</v>
      </c>
      <c r="F258" s="104">
        <v>807471</v>
      </c>
      <c r="G258" s="112">
        <f t="shared" si="6"/>
        <v>-2.9480333909904344E-2</v>
      </c>
      <c r="I258" s="105">
        <v>45539</v>
      </c>
      <c r="J258" s="85">
        <v>78488.88</v>
      </c>
      <c r="K258" s="85">
        <v>78890.789999999994</v>
      </c>
      <c r="L258" s="85">
        <v>78488.88</v>
      </c>
      <c r="M258" s="85">
        <v>78848.009999999995</v>
      </c>
      <c r="N258" s="123">
        <v>146298521</v>
      </c>
      <c r="O258" s="112">
        <f t="shared" si="7"/>
        <v>6.2751806459491188E-3</v>
      </c>
    </row>
    <row r="259" spans="1:15">
      <c r="A259" s="105">
        <v>45538</v>
      </c>
      <c r="B259" s="85">
        <v>134.49</v>
      </c>
      <c r="C259" s="85">
        <v>134.49</v>
      </c>
      <c r="D259" s="85">
        <v>132.51</v>
      </c>
      <c r="E259" s="85">
        <v>132.97</v>
      </c>
      <c r="F259" s="85">
        <v>231696</v>
      </c>
      <c r="G259" s="112">
        <f t="shared" si="6"/>
        <v>7.9039195001217255E-2</v>
      </c>
      <c r="I259" s="105">
        <v>45538</v>
      </c>
      <c r="J259" s="85">
        <v>78566.039999999994</v>
      </c>
      <c r="K259" s="85">
        <v>78644.960000000006</v>
      </c>
      <c r="L259" s="85">
        <v>78250.89</v>
      </c>
      <c r="M259" s="85">
        <v>78356.31</v>
      </c>
      <c r="N259" s="123">
        <v>99477520</v>
      </c>
      <c r="O259" s="112">
        <f t="shared" si="7"/>
        <v>9.3276611138848331E-4</v>
      </c>
    </row>
    <row r="260" spans="1:15">
      <c r="A260" s="105">
        <v>45537</v>
      </c>
      <c r="B260" s="85">
        <v>125.55</v>
      </c>
      <c r="C260" s="85">
        <v>129.1</v>
      </c>
      <c r="D260" s="85">
        <v>121.99</v>
      </c>
      <c r="E260" s="85">
        <v>123.23</v>
      </c>
      <c r="F260" s="85">
        <v>4119350</v>
      </c>
      <c r="G260" s="112">
        <f t="shared" ref="G260:G323" si="8">E260/E261-1</f>
        <v>-1.7461329931430347E-2</v>
      </c>
      <c r="I260" s="105">
        <v>45537</v>
      </c>
      <c r="J260" s="85">
        <v>78715.16</v>
      </c>
      <c r="K260" s="85">
        <v>79014.679999999993</v>
      </c>
      <c r="L260" s="85">
        <v>78240.36</v>
      </c>
      <c r="M260" s="85">
        <v>78283.289999999994</v>
      </c>
      <c r="N260" s="123">
        <v>121323636</v>
      </c>
      <c r="O260" s="112">
        <f t="shared" ref="O260:O323" si="9">M260/M261-1</f>
        <v>-2.6108379844567153E-3</v>
      </c>
    </row>
    <row r="261" spans="1:15">
      <c r="A261" s="105">
        <v>45534</v>
      </c>
      <c r="B261" s="85">
        <v>126.78</v>
      </c>
      <c r="C261" s="85">
        <v>128.80000000000001</v>
      </c>
      <c r="D261" s="85">
        <v>124.6</v>
      </c>
      <c r="E261" s="85">
        <v>125.42</v>
      </c>
      <c r="F261" s="85">
        <v>2262774</v>
      </c>
      <c r="G261" s="112">
        <f t="shared" si="8"/>
        <v>-1.2751889168765795E-2</v>
      </c>
      <c r="I261" s="105">
        <v>45534</v>
      </c>
      <c r="J261" s="85">
        <v>78552.009999999995</v>
      </c>
      <c r="K261" s="85">
        <v>78914.27</v>
      </c>
      <c r="L261" s="85">
        <v>78439.61</v>
      </c>
      <c r="M261" s="85">
        <v>78488.210000000006</v>
      </c>
      <c r="N261" s="123">
        <v>148547591</v>
      </c>
      <c r="O261" s="112">
        <f t="shared" si="9"/>
        <v>1.7683548339584299E-3</v>
      </c>
    </row>
    <row r="262" spans="1:15">
      <c r="A262" s="105">
        <v>45533</v>
      </c>
      <c r="B262" s="85">
        <v>128</v>
      </c>
      <c r="C262" s="85">
        <v>128.97999999999999</v>
      </c>
      <c r="D262" s="85">
        <v>126</v>
      </c>
      <c r="E262" s="85">
        <v>127.04</v>
      </c>
      <c r="F262" s="85">
        <v>1469353</v>
      </c>
      <c r="G262" s="112">
        <f t="shared" si="8"/>
        <v>-6.8792995622263264E-3</v>
      </c>
      <c r="I262" s="105">
        <v>45533</v>
      </c>
      <c r="J262" s="85">
        <v>78019.509999999995</v>
      </c>
      <c r="K262" s="85">
        <v>78513.850000000006</v>
      </c>
      <c r="L262" s="85">
        <v>78017.350000000006</v>
      </c>
      <c r="M262" s="85">
        <v>78349.66</v>
      </c>
      <c r="N262" s="123">
        <v>151385422</v>
      </c>
      <c r="O262" s="112">
        <f t="shared" si="9"/>
        <v>4.5758081709614817E-3</v>
      </c>
    </row>
    <row r="263" spans="1:15">
      <c r="A263" s="105">
        <v>45532</v>
      </c>
      <c r="B263" s="85">
        <v>129</v>
      </c>
      <c r="C263" s="85">
        <v>129</v>
      </c>
      <c r="D263" s="85">
        <v>126.5</v>
      </c>
      <c r="E263" s="85">
        <v>127.92</v>
      </c>
      <c r="F263" s="85">
        <v>514558</v>
      </c>
      <c r="G263" s="112">
        <f t="shared" si="8"/>
        <v>-4.3586550435864568E-3</v>
      </c>
      <c r="I263" s="105">
        <v>45532</v>
      </c>
      <c r="J263" s="85">
        <v>78202.98</v>
      </c>
      <c r="K263" s="85">
        <v>78334.600000000006</v>
      </c>
      <c r="L263" s="85">
        <v>77990.34</v>
      </c>
      <c r="M263" s="85">
        <v>77992.78</v>
      </c>
      <c r="N263" s="123">
        <v>150897916</v>
      </c>
      <c r="O263" s="112">
        <f t="shared" si="9"/>
        <v>-1.1711711827087079E-3</v>
      </c>
    </row>
    <row r="264" spans="1:15">
      <c r="A264" s="105">
        <v>45531</v>
      </c>
      <c r="B264" s="85">
        <v>129.01</v>
      </c>
      <c r="C264" s="85">
        <v>129.97999999999999</v>
      </c>
      <c r="D264" s="85">
        <v>127.9</v>
      </c>
      <c r="E264" s="85">
        <v>128.47999999999999</v>
      </c>
      <c r="F264" s="85">
        <v>635725</v>
      </c>
      <c r="G264" s="112">
        <f t="shared" si="8"/>
        <v>-4.5711629348416105E-3</v>
      </c>
      <c r="I264" s="105">
        <v>45531</v>
      </c>
      <c r="J264" s="85">
        <v>78769.45</v>
      </c>
      <c r="K264" s="85">
        <v>78857.61</v>
      </c>
      <c r="L264" s="85">
        <v>78077.83</v>
      </c>
      <c r="M264" s="85">
        <v>78084.23</v>
      </c>
      <c r="N264" s="123">
        <v>190597406</v>
      </c>
      <c r="O264" s="112">
        <f t="shared" si="9"/>
        <v>-6.1959207621637979E-3</v>
      </c>
    </row>
    <row r="265" spans="1:15">
      <c r="A265" s="105">
        <v>45530</v>
      </c>
      <c r="B265" s="85">
        <v>134.12</v>
      </c>
      <c r="C265" s="85">
        <v>134.94999999999999</v>
      </c>
      <c r="D265" s="85">
        <v>128.5</v>
      </c>
      <c r="E265" s="85">
        <v>129.07</v>
      </c>
      <c r="F265" s="85">
        <v>3044515</v>
      </c>
      <c r="G265" s="112">
        <f t="shared" si="8"/>
        <v>-3.7293950921160612E-2</v>
      </c>
      <c r="I265" s="105">
        <v>45530</v>
      </c>
      <c r="J265" s="85">
        <v>78907.539999999994</v>
      </c>
      <c r="K265" s="85">
        <v>79160.39</v>
      </c>
      <c r="L265" s="85">
        <v>78553.86</v>
      </c>
      <c r="M265" s="85">
        <v>78571.05</v>
      </c>
      <c r="N265" s="123">
        <v>141271943</v>
      </c>
      <c r="O265" s="112">
        <f t="shared" si="9"/>
        <v>-2.9234244763608475E-3</v>
      </c>
    </row>
    <row r="266" spans="1:15">
      <c r="A266" s="105">
        <v>45527</v>
      </c>
      <c r="B266" s="85">
        <v>134.6</v>
      </c>
      <c r="C266" s="85">
        <v>134.6</v>
      </c>
      <c r="D266" s="85">
        <v>133</v>
      </c>
      <c r="E266" s="85">
        <v>134.07</v>
      </c>
      <c r="F266" s="85">
        <v>515666</v>
      </c>
      <c r="G266" s="112">
        <f t="shared" si="8"/>
        <v>1.2696041822255477E-3</v>
      </c>
      <c r="I266" s="105">
        <v>45527</v>
      </c>
      <c r="J266" s="85">
        <v>78902.33</v>
      </c>
      <c r="K266" s="85">
        <v>79173.94</v>
      </c>
      <c r="L266" s="85">
        <v>78760.02</v>
      </c>
      <c r="M266" s="85">
        <v>78801.42</v>
      </c>
      <c r="N266" s="123">
        <v>197837814</v>
      </c>
      <c r="O266" s="112">
        <f t="shared" si="9"/>
        <v>1.0165824781527277E-4</v>
      </c>
    </row>
    <row r="267" spans="1:15">
      <c r="A267" s="105">
        <v>45526</v>
      </c>
      <c r="B267" s="85">
        <v>136</v>
      </c>
      <c r="C267" s="85">
        <v>136</v>
      </c>
      <c r="D267" s="85">
        <v>132.51</v>
      </c>
      <c r="E267" s="85">
        <v>133.9</v>
      </c>
      <c r="F267" s="85">
        <v>842193</v>
      </c>
      <c r="G267" s="112">
        <f t="shared" si="8"/>
        <v>-1.5368777115964405E-2</v>
      </c>
      <c r="I267" s="105">
        <v>45526</v>
      </c>
      <c r="J267" s="85">
        <v>78442.25</v>
      </c>
      <c r="K267" s="85">
        <v>78996.22</v>
      </c>
      <c r="L267" s="85">
        <v>78442.25</v>
      </c>
      <c r="M267" s="85">
        <v>78793.41</v>
      </c>
      <c r="N267" s="123">
        <v>184560028</v>
      </c>
      <c r="O267" s="112">
        <f t="shared" si="9"/>
        <v>6.8049350345671389E-3</v>
      </c>
    </row>
    <row r="268" spans="1:15">
      <c r="A268" s="105">
        <v>45525</v>
      </c>
      <c r="B268" s="85">
        <v>136.94999999999999</v>
      </c>
      <c r="C268" s="85">
        <v>137.47999999999999</v>
      </c>
      <c r="D268" s="85">
        <v>135.05000000000001</v>
      </c>
      <c r="E268" s="85">
        <v>135.99</v>
      </c>
      <c r="F268" s="85">
        <v>403561</v>
      </c>
      <c r="G268" s="112">
        <f t="shared" si="8"/>
        <v>-6.7197428967934458E-3</v>
      </c>
      <c r="I268" s="105">
        <v>45525</v>
      </c>
      <c r="J268" s="85">
        <v>77993.2</v>
      </c>
      <c r="K268" s="85">
        <v>78457.37</v>
      </c>
      <c r="L268" s="85">
        <v>77968.740000000005</v>
      </c>
      <c r="M268" s="85">
        <v>78260.850000000006</v>
      </c>
      <c r="N268" s="123">
        <v>190858373</v>
      </c>
      <c r="O268" s="112">
        <f t="shared" si="9"/>
        <v>6.6284205186357692E-3</v>
      </c>
    </row>
    <row r="269" spans="1:15">
      <c r="A269" s="105">
        <v>45524</v>
      </c>
      <c r="B269" s="85">
        <v>137.99</v>
      </c>
      <c r="C269" s="85">
        <v>138</v>
      </c>
      <c r="D269" s="85">
        <v>136.01</v>
      </c>
      <c r="E269" s="85">
        <v>136.91</v>
      </c>
      <c r="F269" s="85">
        <v>186616</v>
      </c>
      <c r="G269" s="112">
        <f t="shared" si="8"/>
        <v>-3.1309159749527415E-3</v>
      </c>
      <c r="I269" s="105">
        <v>45524</v>
      </c>
      <c r="J269" s="85">
        <v>77857.789999999994</v>
      </c>
      <c r="K269" s="85">
        <v>77930.03</v>
      </c>
      <c r="L269" s="85">
        <v>77460.39</v>
      </c>
      <c r="M269" s="85">
        <v>77745.52</v>
      </c>
      <c r="N269" s="123">
        <v>114232393</v>
      </c>
      <c r="O269" s="112">
        <f t="shared" si="9"/>
        <v>-1.0898063660006452E-3</v>
      </c>
    </row>
    <row r="270" spans="1:15">
      <c r="A270" s="105">
        <v>45523</v>
      </c>
      <c r="B270" s="85">
        <v>137.44999999999999</v>
      </c>
      <c r="C270" s="85">
        <v>138</v>
      </c>
      <c r="D270" s="85">
        <v>134.6</v>
      </c>
      <c r="E270" s="85">
        <v>137.34</v>
      </c>
      <c r="F270" s="85">
        <v>702144</v>
      </c>
      <c r="G270" s="112">
        <f t="shared" si="8"/>
        <v>-2.1838829438747265E-4</v>
      </c>
      <c r="I270" s="105">
        <v>45523</v>
      </c>
      <c r="J270" s="85">
        <v>78272.12</v>
      </c>
      <c r="K270" s="85">
        <v>78382.039999999994</v>
      </c>
      <c r="L270" s="85">
        <v>77566.62</v>
      </c>
      <c r="M270" s="85">
        <v>77830.34</v>
      </c>
      <c r="N270" s="123">
        <v>122481310</v>
      </c>
      <c r="O270" s="112">
        <f t="shared" si="9"/>
        <v>-2.7542978244686767E-3</v>
      </c>
    </row>
    <row r="271" spans="1:15">
      <c r="A271" s="105">
        <v>45520</v>
      </c>
      <c r="B271" s="85">
        <v>138.47999999999999</v>
      </c>
      <c r="C271" s="85">
        <v>138.94</v>
      </c>
      <c r="D271" s="85">
        <v>136.52000000000001</v>
      </c>
      <c r="E271" s="85">
        <v>137.37</v>
      </c>
      <c r="F271" s="85">
        <v>181836</v>
      </c>
      <c r="G271" s="112">
        <f t="shared" si="8"/>
        <v>-4.3487714720591431E-3</v>
      </c>
      <c r="I271" s="105">
        <v>45520</v>
      </c>
      <c r="J271" s="85">
        <v>78197.149999999994</v>
      </c>
      <c r="K271" s="85">
        <v>78619.17</v>
      </c>
      <c r="L271" s="85">
        <v>78041.08</v>
      </c>
      <c r="M271" s="85">
        <v>78045.3</v>
      </c>
      <c r="N271" s="123">
        <v>206700571</v>
      </c>
      <c r="O271" s="112">
        <f t="shared" si="9"/>
        <v>-7.7650934403838967E-4</v>
      </c>
    </row>
    <row r="272" spans="1:15">
      <c r="A272" s="105">
        <v>45519</v>
      </c>
      <c r="B272" s="85">
        <v>137</v>
      </c>
      <c r="C272" s="85">
        <v>138.94999999999999</v>
      </c>
      <c r="D272" s="85">
        <v>136</v>
      </c>
      <c r="E272" s="85">
        <v>137.97</v>
      </c>
      <c r="F272" s="85">
        <v>428031</v>
      </c>
      <c r="G272" s="112">
        <f t="shared" si="8"/>
        <v>7.0802919708028433E-3</v>
      </c>
      <c r="I272" s="105">
        <v>45519</v>
      </c>
      <c r="J272" s="85">
        <v>77989.36</v>
      </c>
      <c r="K272" s="85">
        <v>78709.13</v>
      </c>
      <c r="L272" s="85">
        <v>77987.820000000007</v>
      </c>
      <c r="M272" s="85">
        <v>78105.95</v>
      </c>
      <c r="N272" s="123">
        <v>169231822</v>
      </c>
      <c r="O272" s="112">
        <f t="shared" si="9"/>
        <v>2.9346122322249091E-3</v>
      </c>
    </row>
    <row r="273" spans="1:15">
      <c r="A273" s="105">
        <v>45517</v>
      </c>
      <c r="B273" s="85">
        <v>137</v>
      </c>
      <c r="C273" s="85">
        <v>137.9</v>
      </c>
      <c r="D273" s="85">
        <v>135.61000000000001</v>
      </c>
      <c r="E273" s="85">
        <v>137</v>
      </c>
      <c r="F273" s="85">
        <v>479120</v>
      </c>
      <c r="G273" s="112">
        <f t="shared" si="8"/>
        <v>-3.0563236792314763E-3</v>
      </c>
      <c r="I273" s="105">
        <v>45517</v>
      </c>
      <c r="J273" s="85">
        <v>77966.720000000001</v>
      </c>
      <c r="K273" s="85">
        <v>78275.97</v>
      </c>
      <c r="L273" s="85">
        <v>77817.320000000007</v>
      </c>
      <c r="M273" s="85">
        <v>77877.41</v>
      </c>
      <c r="N273" s="123">
        <v>183958550</v>
      </c>
      <c r="O273" s="112">
        <f t="shared" si="9"/>
        <v>-1.3193077378911289E-3</v>
      </c>
    </row>
    <row r="274" spans="1:15">
      <c r="A274" s="105">
        <v>45516</v>
      </c>
      <c r="B274" s="85">
        <v>136.13999999999999</v>
      </c>
      <c r="C274" s="85">
        <v>138.30000000000001</v>
      </c>
      <c r="D274" s="85">
        <v>136.13999999999999</v>
      </c>
      <c r="E274" s="85">
        <v>137.41999999999999</v>
      </c>
      <c r="F274" s="85">
        <v>643068</v>
      </c>
      <c r="G274" s="112">
        <f t="shared" si="8"/>
        <v>-3.1916436965039319E-3</v>
      </c>
      <c r="I274" s="105">
        <v>45516</v>
      </c>
      <c r="J274" s="85">
        <v>78867.3</v>
      </c>
      <c r="K274" s="85">
        <v>78886.460000000006</v>
      </c>
      <c r="L274" s="85">
        <v>77940.52</v>
      </c>
      <c r="M274" s="85">
        <v>77980.289999999994</v>
      </c>
      <c r="N274" s="123">
        <v>141771364</v>
      </c>
      <c r="O274" s="112">
        <f t="shared" si="9"/>
        <v>-7.5002310054350652E-3</v>
      </c>
    </row>
    <row r="275" spans="1:15">
      <c r="A275" s="105">
        <v>45513</v>
      </c>
      <c r="B275" s="85">
        <v>136.25</v>
      </c>
      <c r="C275" s="85">
        <v>138</v>
      </c>
      <c r="D275" s="85">
        <v>135.12</v>
      </c>
      <c r="E275" s="85">
        <v>137.86000000000001</v>
      </c>
      <c r="F275" s="85">
        <v>1073467</v>
      </c>
      <c r="G275" s="112">
        <f t="shared" si="8"/>
        <v>1.2113648043462266E-2</v>
      </c>
      <c r="I275" s="105">
        <v>45513</v>
      </c>
      <c r="J275" s="85">
        <v>78322.33</v>
      </c>
      <c r="K275" s="85">
        <v>78823.13</v>
      </c>
      <c r="L275" s="85">
        <v>78051.08</v>
      </c>
      <c r="M275" s="85">
        <v>78569.58</v>
      </c>
      <c r="N275" s="123">
        <v>139145385</v>
      </c>
      <c r="O275" s="112">
        <f t="shared" si="9"/>
        <v>8.9292708164525614E-3</v>
      </c>
    </row>
    <row r="276" spans="1:15">
      <c r="A276" s="105">
        <v>45512</v>
      </c>
      <c r="B276" s="85">
        <v>133.85</v>
      </c>
      <c r="C276" s="85">
        <v>136.74</v>
      </c>
      <c r="D276" s="85">
        <v>132.6</v>
      </c>
      <c r="E276" s="85">
        <v>136.21</v>
      </c>
      <c r="F276" s="85">
        <v>3188687</v>
      </c>
      <c r="G276" s="112">
        <f t="shared" si="8"/>
        <v>1.5734526472781507E-2</v>
      </c>
      <c r="I276" s="105">
        <v>45512</v>
      </c>
      <c r="J276" s="85">
        <v>77218.12</v>
      </c>
      <c r="K276" s="85">
        <v>77969.259999999995</v>
      </c>
      <c r="L276" s="85">
        <v>77085.47</v>
      </c>
      <c r="M276" s="85">
        <v>77874.22</v>
      </c>
      <c r="N276" s="123">
        <v>192848233</v>
      </c>
      <c r="O276" s="112">
        <f t="shared" si="9"/>
        <v>9.8519746418603837E-3</v>
      </c>
    </row>
    <row r="277" spans="1:15">
      <c r="A277" s="105">
        <v>45511</v>
      </c>
      <c r="B277" s="85">
        <v>131.16999999999999</v>
      </c>
      <c r="C277" s="85">
        <v>134.94999999999999</v>
      </c>
      <c r="D277" s="85">
        <v>131.16999999999999</v>
      </c>
      <c r="E277" s="85">
        <v>134.1</v>
      </c>
      <c r="F277" s="85">
        <v>1305601</v>
      </c>
      <c r="G277" s="112">
        <f t="shared" si="8"/>
        <v>1.2151860517774837E-2</v>
      </c>
      <c r="I277" s="105">
        <v>45511</v>
      </c>
      <c r="J277" s="85">
        <v>77344.86</v>
      </c>
      <c r="K277" s="85">
        <v>77800.039999999994</v>
      </c>
      <c r="L277" s="85">
        <v>77086.81</v>
      </c>
      <c r="M277" s="85">
        <v>77114.490000000005</v>
      </c>
      <c r="N277" s="123">
        <v>128803602</v>
      </c>
      <c r="O277" s="112">
        <f t="shared" si="9"/>
        <v>-9.9557800136640395E-4</v>
      </c>
    </row>
    <row r="278" spans="1:15">
      <c r="A278" s="105">
        <v>45510</v>
      </c>
      <c r="B278" s="85">
        <v>132.87</v>
      </c>
      <c r="C278" s="85">
        <v>135.19999999999999</v>
      </c>
      <c r="D278" s="85">
        <v>131.11000000000001</v>
      </c>
      <c r="E278" s="85">
        <v>132.49</v>
      </c>
      <c r="F278" s="85">
        <v>2048309</v>
      </c>
      <c r="G278" s="112">
        <f t="shared" si="8"/>
        <v>6.9159446724424978E-3</v>
      </c>
      <c r="I278" s="105">
        <v>45510</v>
      </c>
      <c r="J278" s="85">
        <v>77417.210000000006</v>
      </c>
      <c r="K278" s="85">
        <v>77746.55</v>
      </c>
      <c r="L278" s="85">
        <v>77035.95</v>
      </c>
      <c r="M278" s="85">
        <v>77191.34</v>
      </c>
      <c r="N278" s="123">
        <v>149774582</v>
      </c>
      <c r="O278" s="112">
        <f t="shared" si="9"/>
        <v>1.386271270169992E-3</v>
      </c>
    </row>
    <row r="279" spans="1:15">
      <c r="A279" s="105">
        <v>45509</v>
      </c>
      <c r="B279" s="85">
        <v>135</v>
      </c>
      <c r="C279" s="85">
        <v>135.5</v>
      </c>
      <c r="D279" s="85">
        <v>130.53</v>
      </c>
      <c r="E279" s="85">
        <v>131.58000000000001</v>
      </c>
      <c r="F279" s="85">
        <v>1826989</v>
      </c>
      <c r="G279" s="112">
        <f t="shared" si="8"/>
        <v>-3.1645569620253E-2</v>
      </c>
      <c r="I279" s="105">
        <v>45509</v>
      </c>
      <c r="J279" s="85">
        <v>78303.67</v>
      </c>
      <c r="K279" s="85">
        <v>78330.09</v>
      </c>
      <c r="L279" s="85">
        <v>76943.240000000005</v>
      </c>
      <c r="M279" s="85">
        <v>77084.479999999996</v>
      </c>
      <c r="N279" s="123">
        <v>169486960</v>
      </c>
      <c r="O279" s="112">
        <f t="shared" si="9"/>
        <v>-1.4592338760089696E-2</v>
      </c>
    </row>
    <row r="280" spans="1:15">
      <c r="A280" s="105">
        <v>45506</v>
      </c>
      <c r="B280" s="85">
        <v>134.5</v>
      </c>
      <c r="C280" s="85">
        <v>137.5</v>
      </c>
      <c r="D280" s="85">
        <v>132</v>
      </c>
      <c r="E280" s="85">
        <v>135.88</v>
      </c>
      <c r="F280" s="85">
        <v>4088836</v>
      </c>
      <c r="G280" s="112">
        <f t="shared" si="8"/>
        <v>1.981386970879595E-2</v>
      </c>
      <c r="I280" s="105">
        <v>45506</v>
      </c>
      <c r="J280" s="85">
        <v>77946.16</v>
      </c>
      <c r="K280" s="85">
        <v>78434.16</v>
      </c>
      <c r="L280" s="85">
        <v>77926.53</v>
      </c>
      <c r="M280" s="85">
        <v>78225.98</v>
      </c>
      <c r="N280" s="123">
        <v>203295787</v>
      </c>
      <c r="O280" s="112">
        <f t="shared" si="9"/>
        <v>6.2474675297110593E-3</v>
      </c>
    </row>
    <row r="281" spans="1:15">
      <c r="A281" s="105">
        <v>45505</v>
      </c>
      <c r="B281" s="85">
        <v>131.86000000000001</v>
      </c>
      <c r="C281" s="85">
        <v>133.68</v>
      </c>
      <c r="D281" s="85">
        <v>131</v>
      </c>
      <c r="E281" s="85">
        <v>133.24</v>
      </c>
      <c r="F281" s="85">
        <v>1582379</v>
      </c>
      <c r="G281" s="112">
        <f t="shared" si="8"/>
        <v>1.0465645381465105E-2</v>
      </c>
      <c r="I281" s="105">
        <v>45505</v>
      </c>
      <c r="J281" s="85">
        <v>78101.16</v>
      </c>
      <c r="K281" s="85">
        <v>78241.02</v>
      </c>
      <c r="L281" s="85">
        <v>77595.92</v>
      </c>
      <c r="M281" s="85">
        <v>77740.3</v>
      </c>
      <c r="N281" s="123">
        <v>97018396</v>
      </c>
      <c r="O281" s="112">
        <f t="shared" si="9"/>
        <v>-1.8832415892873211E-3</v>
      </c>
    </row>
    <row r="282" spans="1:15">
      <c r="A282" s="105">
        <v>45504</v>
      </c>
      <c r="B282" s="85">
        <v>133.63</v>
      </c>
      <c r="C282" s="85">
        <v>136.9</v>
      </c>
      <c r="D282" s="85">
        <v>130.30000000000001</v>
      </c>
      <c r="E282" s="85">
        <v>131.86000000000001</v>
      </c>
      <c r="F282" s="85">
        <v>2350522</v>
      </c>
      <c r="G282" s="112">
        <f t="shared" si="8"/>
        <v>-1.324552869864537E-2</v>
      </c>
      <c r="I282" s="105">
        <v>45504</v>
      </c>
      <c r="J282" s="85">
        <v>78725.960000000006</v>
      </c>
      <c r="K282" s="85">
        <v>79151.81</v>
      </c>
      <c r="L282" s="85">
        <v>77810.16</v>
      </c>
      <c r="M282" s="85">
        <v>77886.98</v>
      </c>
      <c r="N282" s="123">
        <v>112542528</v>
      </c>
      <c r="O282" s="112">
        <f t="shared" si="9"/>
        <v>-9.4344565858821561E-3</v>
      </c>
    </row>
    <row r="283" spans="1:15">
      <c r="A283" s="105">
        <v>45503</v>
      </c>
      <c r="B283" s="85">
        <v>137.97999999999999</v>
      </c>
      <c r="C283" s="85">
        <v>138.80000000000001</v>
      </c>
      <c r="D283" s="85">
        <v>133.12</v>
      </c>
      <c r="E283" s="85">
        <v>133.63</v>
      </c>
      <c r="F283" s="85">
        <v>1604367</v>
      </c>
      <c r="G283" s="112">
        <f t="shared" si="8"/>
        <v>-1.8220556902505458E-2</v>
      </c>
      <c r="I283" s="105">
        <v>45503</v>
      </c>
      <c r="J283" s="85">
        <v>79319.199999999997</v>
      </c>
      <c r="K283" s="85">
        <v>79327.039999999994</v>
      </c>
      <c r="L283" s="85">
        <v>78518.23</v>
      </c>
      <c r="M283" s="85">
        <v>78628.800000000003</v>
      </c>
      <c r="N283" s="123">
        <v>143371373</v>
      </c>
      <c r="O283" s="112">
        <f t="shared" si="9"/>
        <v>-2.5237308592127583E-3</v>
      </c>
    </row>
    <row r="284" spans="1:15">
      <c r="A284" s="105">
        <v>45502</v>
      </c>
      <c r="B284" s="85">
        <v>135.79</v>
      </c>
      <c r="C284" s="85">
        <v>138.69</v>
      </c>
      <c r="D284" s="85">
        <v>135.55000000000001</v>
      </c>
      <c r="E284" s="85">
        <v>136.11000000000001</v>
      </c>
      <c r="F284" s="85">
        <v>1836143</v>
      </c>
      <c r="G284" s="112">
        <f t="shared" si="8"/>
        <v>-5.9158632778262277E-3</v>
      </c>
      <c r="I284" s="105">
        <v>45502</v>
      </c>
      <c r="J284" s="85">
        <v>78023.89</v>
      </c>
      <c r="K284" s="85">
        <v>79055.990000000005</v>
      </c>
      <c r="L284" s="85">
        <v>78016.289999999994</v>
      </c>
      <c r="M284" s="85">
        <v>78827.740000000005</v>
      </c>
      <c r="N284" s="123">
        <v>135177284</v>
      </c>
      <c r="O284" s="112">
        <f t="shared" si="9"/>
        <v>1.0229977124036393E-2</v>
      </c>
    </row>
    <row r="285" spans="1:15">
      <c r="A285" s="105">
        <v>45499</v>
      </c>
      <c r="B285" s="85">
        <v>139.69999999999999</v>
      </c>
      <c r="C285" s="85">
        <v>139.69999999999999</v>
      </c>
      <c r="D285" s="85">
        <v>136</v>
      </c>
      <c r="E285" s="85">
        <v>136.91999999999999</v>
      </c>
      <c r="F285" s="85">
        <v>675443</v>
      </c>
      <c r="G285" s="112">
        <f t="shared" si="8"/>
        <v>-2.0180334907685893E-2</v>
      </c>
      <c r="I285" s="105">
        <v>45499</v>
      </c>
      <c r="J285" s="85">
        <v>78440.36</v>
      </c>
      <c r="K285" s="85">
        <v>78029.5</v>
      </c>
      <c r="L285" s="85">
        <v>77921.47</v>
      </c>
      <c r="M285" s="85">
        <v>78029.5</v>
      </c>
      <c r="N285" s="123">
        <v>116859785</v>
      </c>
      <c r="O285" s="112">
        <f t="shared" si="9"/>
        <v>-5.6051198602052876E-3</v>
      </c>
    </row>
    <row r="286" spans="1:15">
      <c r="A286" s="105">
        <v>45498</v>
      </c>
      <c r="B286" s="85">
        <v>142</v>
      </c>
      <c r="C286" s="85">
        <v>142</v>
      </c>
      <c r="D286" s="85">
        <v>138.5</v>
      </c>
      <c r="E286" s="85">
        <v>139.74</v>
      </c>
      <c r="F286" s="85">
        <v>2704698</v>
      </c>
      <c r="G286" s="112">
        <f t="shared" si="8"/>
        <v>-1.2368365255495117E-2</v>
      </c>
      <c r="I286" s="105">
        <v>45498</v>
      </c>
      <c r="J286" s="85">
        <v>79568.479999999996</v>
      </c>
      <c r="K286" s="85">
        <v>79776.95</v>
      </c>
      <c r="L286" s="85">
        <v>78330.58</v>
      </c>
      <c r="M286" s="85">
        <v>78469.33</v>
      </c>
      <c r="N286" s="123">
        <v>129010674</v>
      </c>
      <c r="O286" s="112">
        <f t="shared" si="9"/>
        <v>-1.1683942718238693E-2</v>
      </c>
    </row>
    <row r="287" spans="1:15">
      <c r="A287" s="105">
        <v>45497</v>
      </c>
      <c r="B287" s="85">
        <v>141.6</v>
      </c>
      <c r="C287" s="85">
        <v>143.38999999999999</v>
      </c>
      <c r="D287" s="85">
        <v>141</v>
      </c>
      <c r="E287" s="85">
        <v>141.49</v>
      </c>
      <c r="F287" s="85">
        <v>988990</v>
      </c>
      <c r="G287" s="112">
        <f t="shared" si="8"/>
        <v>1.2737952020380749E-3</v>
      </c>
      <c r="I287" s="105">
        <v>45497</v>
      </c>
      <c r="J287" s="85">
        <v>79184.02</v>
      </c>
      <c r="K287" s="85">
        <v>79704.36</v>
      </c>
      <c r="L287" s="85">
        <v>79071.48</v>
      </c>
      <c r="M287" s="85">
        <v>79397</v>
      </c>
      <c r="N287" s="123">
        <v>102935402</v>
      </c>
      <c r="O287" s="112">
        <f t="shared" si="9"/>
        <v>5.1895822469216757E-3</v>
      </c>
    </row>
    <row r="288" spans="1:15">
      <c r="A288" s="105">
        <v>45496</v>
      </c>
      <c r="B288" s="85">
        <v>143.47999999999999</v>
      </c>
      <c r="C288" s="85">
        <v>145</v>
      </c>
      <c r="D288" s="85">
        <v>140.1</v>
      </c>
      <c r="E288" s="85">
        <v>141.31</v>
      </c>
      <c r="F288" s="85">
        <v>2318442</v>
      </c>
      <c r="G288" s="112">
        <f t="shared" si="8"/>
        <v>-7.8635119005827647E-3</v>
      </c>
      <c r="I288" s="105">
        <v>45496</v>
      </c>
      <c r="J288" s="85">
        <v>78700.25</v>
      </c>
      <c r="K288" s="85">
        <v>79585.34</v>
      </c>
      <c r="L288" s="85">
        <v>78634.149999999994</v>
      </c>
      <c r="M288" s="85">
        <v>78987.09</v>
      </c>
      <c r="N288" s="123">
        <v>137602553</v>
      </c>
      <c r="O288" s="112">
        <f t="shared" si="9"/>
        <v>5.7030134513755826E-3</v>
      </c>
    </row>
    <row r="289" spans="1:15">
      <c r="A289" s="105">
        <v>45495</v>
      </c>
      <c r="B289" s="85">
        <v>141.63999999999999</v>
      </c>
      <c r="C289" s="85">
        <v>144.25</v>
      </c>
      <c r="D289" s="85">
        <v>137.5</v>
      </c>
      <c r="E289" s="85">
        <v>142.43</v>
      </c>
      <c r="F289" s="85">
        <v>5099615</v>
      </c>
      <c r="G289" s="112">
        <f t="shared" si="8"/>
        <v>5.1517290049400977E-3</v>
      </c>
      <c r="I289" s="105">
        <v>45495</v>
      </c>
      <c r="J289" s="85">
        <v>79920.23</v>
      </c>
      <c r="K289" s="85">
        <v>80085.63</v>
      </c>
      <c r="L289" s="85">
        <v>78404.759999999995</v>
      </c>
      <c r="M289" s="85">
        <v>78539.179999999993</v>
      </c>
      <c r="N289" s="123">
        <v>201001223</v>
      </c>
      <c r="O289" s="112">
        <f t="shared" si="9"/>
        <v>-1.9704837458899727E-2</v>
      </c>
    </row>
    <row r="290" spans="1:15">
      <c r="A290" s="105">
        <v>45492</v>
      </c>
      <c r="B290" s="85">
        <v>148.25</v>
      </c>
      <c r="C290" s="85">
        <v>148.25</v>
      </c>
      <c r="D290" s="85">
        <v>140.1</v>
      </c>
      <c r="E290" s="85">
        <v>141.69999999999999</v>
      </c>
      <c r="F290" s="85">
        <v>4105210</v>
      </c>
      <c r="G290" s="112">
        <f t="shared" si="8"/>
        <v>-4.3472390981504017E-2</v>
      </c>
      <c r="I290" s="105">
        <v>45492</v>
      </c>
      <c r="J290" s="85">
        <v>81921.710000000006</v>
      </c>
      <c r="K290" s="85">
        <v>81939.83</v>
      </c>
      <c r="L290" s="85">
        <v>79812.69</v>
      </c>
      <c r="M290" s="85">
        <v>80117.89</v>
      </c>
      <c r="N290" s="123">
        <v>246331407</v>
      </c>
      <c r="O290" s="112">
        <f t="shared" si="9"/>
        <v>-2.1040725142980499E-2</v>
      </c>
    </row>
    <row r="291" spans="1:15">
      <c r="A291" s="105">
        <v>45491</v>
      </c>
      <c r="B291" s="85">
        <v>148.9</v>
      </c>
      <c r="C291" s="85">
        <v>149.79</v>
      </c>
      <c r="D291" s="85">
        <v>146.6</v>
      </c>
      <c r="E291" s="85">
        <v>148.13999999999999</v>
      </c>
      <c r="F291" s="85">
        <v>3008807</v>
      </c>
      <c r="G291" s="112">
        <f t="shared" si="8"/>
        <v>-4.2347247428918822E-3</v>
      </c>
      <c r="I291" s="105">
        <v>45491</v>
      </c>
      <c r="J291" s="85">
        <v>81418.12</v>
      </c>
      <c r="K291" s="85">
        <v>81909.94</v>
      </c>
      <c r="L291" s="85">
        <v>81418.11</v>
      </c>
      <c r="M291" s="85">
        <v>81839.86</v>
      </c>
      <c r="N291" s="123">
        <v>238793531</v>
      </c>
      <c r="O291" s="112">
        <f t="shared" si="9"/>
        <v>8.4314575950394932E-3</v>
      </c>
    </row>
    <row r="292" spans="1:15">
      <c r="A292" s="105">
        <v>45488</v>
      </c>
      <c r="B292" s="85">
        <v>148</v>
      </c>
      <c r="C292" s="85">
        <v>153.26</v>
      </c>
      <c r="D292" s="85">
        <v>148</v>
      </c>
      <c r="E292" s="85">
        <v>148.77000000000001</v>
      </c>
      <c r="F292" s="85">
        <v>7829515</v>
      </c>
      <c r="G292" s="112">
        <f t="shared" si="8"/>
        <v>1.4594557730341684E-2</v>
      </c>
      <c r="I292" s="105">
        <v>45488</v>
      </c>
      <c r="J292" s="85">
        <v>80743.460000000006</v>
      </c>
      <c r="K292" s="85">
        <v>81428.429999999993</v>
      </c>
      <c r="L292" s="85">
        <v>80743.460000000006</v>
      </c>
      <c r="M292" s="85">
        <v>81155.600000000006</v>
      </c>
      <c r="N292" s="123">
        <v>219582625</v>
      </c>
      <c r="O292" s="112">
        <f t="shared" si="9"/>
        <v>1.5154466077480055E-2</v>
      </c>
    </row>
    <row r="293" spans="1:15">
      <c r="A293" s="105">
        <v>45485</v>
      </c>
      <c r="B293" s="85">
        <v>139.99</v>
      </c>
      <c r="C293" s="85">
        <v>148.1</v>
      </c>
      <c r="D293" s="85">
        <v>137.49</v>
      </c>
      <c r="E293" s="85">
        <v>146.63</v>
      </c>
      <c r="F293" s="85">
        <v>13200563</v>
      </c>
      <c r="G293" s="112">
        <f t="shared" si="8"/>
        <v>4.7731332618792477E-2</v>
      </c>
      <c r="I293" s="105">
        <v>45485</v>
      </c>
      <c r="J293" s="85">
        <v>80094.69</v>
      </c>
      <c r="K293" s="85">
        <v>80321.679999999993</v>
      </c>
      <c r="L293" s="85">
        <v>78611.679999999993</v>
      </c>
      <c r="M293" s="85">
        <v>79944.09</v>
      </c>
      <c r="N293" s="123">
        <v>217955924</v>
      </c>
      <c r="O293" s="112">
        <f t="shared" si="9"/>
        <v>-6.0330769129812722E-4</v>
      </c>
    </row>
    <row r="294" spans="1:15">
      <c r="A294" s="105">
        <v>45484</v>
      </c>
      <c r="B294" s="85">
        <v>137.9</v>
      </c>
      <c r="C294" s="85">
        <v>141.97</v>
      </c>
      <c r="D294" s="85">
        <v>134.4</v>
      </c>
      <c r="E294" s="85">
        <v>139.94999999999999</v>
      </c>
      <c r="F294" s="85">
        <v>4112879</v>
      </c>
      <c r="G294" s="112">
        <f t="shared" si="8"/>
        <v>1.4424470861118976E-2</v>
      </c>
      <c r="I294" s="105">
        <v>45484</v>
      </c>
      <c r="J294" s="85">
        <v>79884.02</v>
      </c>
      <c r="K294" s="85">
        <v>80114.720000000001</v>
      </c>
      <c r="L294" s="85">
        <v>79708.87</v>
      </c>
      <c r="M294" s="85">
        <v>79992.350000000006</v>
      </c>
      <c r="N294" s="123">
        <v>154197519</v>
      </c>
      <c r="O294" s="112">
        <f t="shared" si="9"/>
        <v>1.8887408874201927E-3</v>
      </c>
    </row>
    <row r="295" spans="1:15">
      <c r="A295" s="105">
        <v>45483</v>
      </c>
      <c r="B295" s="85">
        <v>141.49</v>
      </c>
      <c r="C295" s="85">
        <v>141.49</v>
      </c>
      <c r="D295" s="85">
        <v>137</v>
      </c>
      <c r="E295" s="85">
        <v>137.96</v>
      </c>
      <c r="F295" s="85">
        <v>1934735</v>
      </c>
      <c r="G295" s="112">
        <f t="shared" si="8"/>
        <v>-1.842760583422276E-2</v>
      </c>
      <c r="I295" s="105">
        <v>45483</v>
      </c>
      <c r="J295" s="85">
        <v>80885.06</v>
      </c>
      <c r="K295" s="85">
        <v>80971.95</v>
      </c>
      <c r="L295" s="85">
        <v>79841.320000000007</v>
      </c>
      <c r="M295" s="85">
        <v>79841.55</v>
      </c>
      <c r="N295" s="123">
        <v>230911148</v>
      </c>
      <c r="O295" s="112">
        <f t="shared" si="9"/>
        <v>-1.0294890201142715E-2</v>
      </c>
    </row>
    <row r="296" spans="1:15">
      <c r="A296" s="105">
        <v>45482</v>
      </c>
      <c r="B296" s="85">
        <v>143.11000000000001</v>
      </c>
      <c r="C296" s="85">
        <v>145.9</v>
      </c>
      <c r="D296" s="85">
        <v>139</v>
      </c>
      <c r="E296" s="85">
        <v>140.55000000000001</v>
      </c>
      <c r="F296" s="85">
        <v>3225650</v>
      </c>
      <c r="G296" s="112">
        <f t="shared" si="8"/>
        <v>-1.6995383969785838E-2</v>
      </c>
      <c r="I296" s="105">
        <v>45482</v>
      </c>
      <c r="J296" s="85">
        <v>80752.94</v>
      </c>
      <c r="K296" s="85">
        <v>81087.42</v>
      </c>
      <c r="L296" s="85">
        <v>80530.850000000006</v>
      </c>
      <c r="M296" s="85">
        <v>80672.06</v>
      </c>
      <c r="N296" s="123">
        <v>309526499</v>
      </c>
      <c r="O296" s="112">
        <f t="shared" si="9"/>
        <v>1.3139505152284237E-3</v>
      </c>
    </row>
    <row r="297" spans="1:15">
      <c r="A297" s="105">
        <v>45481</v>
      </c>
      <c r="B297" s="85">
        <v>140</v>
      </c>
      <c r="C297" s="85">
        <v>145.1</v>
      </c>
      <c r="D297" s="85">
        <v>137.51</v>
      </c>
      <c r="E297" s="85">
        <v>142.97999999999999</v>
      </c>
      <c r="F297" s="85">
        <v>5278504</v>
      </c>
      <c r="G297" s="112">
        <f t="shared" si="8"/>
        <v>2.8633093525179731E-2</v>
      </c>
      <c r="I297" s="105">
        <v>45481</v>
      </c>
      <c r="J297" s="85">
        <v>80332.789999999994</v>
      </c>
      <c r="K297" s="85">
        <v>80737.7</v>
      </c>
      <c r="L297" s="85">
        <v>80192.31</v>
      </c>
      <c r="M297" s="85">
        <v>80566.2</v>
      </c>
      <c r="N297" s="123">
        <v>138374084</v>
      </c>
      <c r="O297" s="112">
        <f t="shared" si="9"/>
        <v>4.4059058412007079E-3</v>
      </c>
    </row>
    <row r="298" spans="1:15">
      <c r="A298" s="105">
        <v>45478</v>
      </c>
      <c r="B298" s="85">
        <v>132.5</v>
      </c>
      <c r="C298" s="85">
        <v>140.75</v>
      </c>
      <c r="D298" s="85">
        <v>130.30000000000001</v>
      </c>
      <c r="E298" s="85">
        <v>139</v>
      </c>
      <c r="F298" s="85">
        <v>10034650</v>
      </c>
      <c r="G298" s="112">
        <f t="shared" si="8"/>
        <v>4.7396579006856898E-2</v>
      </c>
      <c r="I298" s="105">
        <v>45478</v>
      </c>
      <c r="J298" s="85">
        <v>80427.839999999997</v>
      </c>
      <c r="K298" s="85">
        <v>80627.490000000005</v>
      </c>
      <c r="L298" s="85">
        <v>80080.25</v>
      </c>
      <c r="M298" s="85">
        <v>80212.789999999994</v>
      </c>
      <c r="N298" s="123">
        <v>211364563</v>
      </c>
      <c r="O298" s="112">
        <f t="shared" si="9"/>
        <v>-8.7204233036231038E-4</v>
      </c>
    </row>
    <row r="299" spans="1:15">
      <c r="A299" s="105">
        <v>45477</v>
      </c>
      <c r="B299" s="85">
        <v>132.49</v>
      </c>
      <c r="C299" s="85">
        <v>134.9</v>
      </c>
      <c r="D299" s="85">
        <v>127</v>
      </c>
      <c r="E299" s="85">
        <v>132.71</v>
      </c>
      <c r="F299" s="85">
        <v>6996226</v>
      </c>
      <c r="G299" s="112">
        <f t="shared" si="8"/>
        <v>1.4337458496831434E-3</v>
      </c>
      <c r="I299" s="105">
        <v>45477</v>
      </c>
      <c r="J299" s="85">
        <v>80438.84</v>
      </c>
      <c r="K299" s="85">
        <v>80888.86</v>
      </c>
      <c r="L299" s="85">
        <v>80134.89</v>
      </c>
      <c r="M299" s="85">
        <v>80282.8</v>
      </c>
      <c r="N299" s="123">
        <v>229012241</v>
      </c>
      <c r="O299" s="112">
        <f t="shared" si="9"/>
        <v>6.1233644179559121E-4</v>
      </c>
    </row>
    <row r="300" spans="1:15">
      <c r="A300" s="105">
        <v>45476</v>
      </c>
      <c r="B300" s="85">
        <v>126.75</v>
      </c>
      <c r="C300" s="85">
        <v>133.75</v>
      </c>
      <c r="D300" s="85">
        <v>126.5</v>
      </c>
      <c r="E300" s="85">
        <v>132.52000000000001</v>
      </c>
      <c r="F300" s="85">
        <v>7324743</v>
      </c>
      <c r="G300" s="112">
        <f t="shared" si="8"/>
        <v>5.1495675632786009E-2</v>
      </c>
      <c r="I300" s="105">
        <v>45476</v>
      </c>
      <c r="J300" s="85">
        <v>79697.25</v>
      </c>
      <c r="K300" s="85">
        <v>80405.23</v>
      </c>
      <c r="L300" s="85">
        <v>79697.25</v>
      </c>
      <c r="M300" s="85">
        <v>80233.67</v>
      </c>
      <c r="N300" s="123">
        <v>280091033</v>
      </c>
      <c r="O300" s="112">
        <f t="shared" si="9"/>
        <v>8.5577040076989519E-3</v>
      </c>
    </row>
    <row r="301" spans="1:15">
      <c r="A301" s="105">
        <v>45475</v>
      </c>
      <c r="B301" s="85">
        <v>125.99</v>
      </c>
      <c r="C301" s="85">
        <v>126.8</v>
      </c>
      <c r="D301" s="85">
        <v>125.43</v>
      </c>
      <c r="E301" s="85">
        <v>126.03</v>
      </c>
      <c r="F301" s="85">
        <v>2221151</v>
      </c>
      <c r="G301" s="112">
        <f t="shared" si="8"/>
        <v>7.6757016071000717E-3</v>
      </c>
      <c r="I301" s="105">
        <v>45475</v>
      </c>
      <c r="J301" s="85">
        <v>78978.55</v>
      </c>
      <c r="K301" s="85">
        <v>79740.350000000006</v>
      </c>
      <c r="L301" s="85">
        <v>78978.539999999994</v>
      </c>
      <c r="M301" s="85">
        <v>79552.88</v>
      </c>
      <c r="N301" s="123">
        <v>192802616</v>
      </c>
      <c r="O301" s="112">
        <f t="shared" si="9"/>
        <v>9.2427046319327744E-3</v>
      </c>
    </row>
    <row r="302" spans="1:15">
      <c r="A302" s="105">
        <v>45474</v>
      </c>
      <c r="B302" s="85">
        <v>123.99</v>
      </c>
      <c r="C302" s="85">
        <v>125.7</v>
      </c>
      <c r="D302" s="85">
        <v>122.52</v>
      </c>
      <c r="E302" s="85">
        <v>125.07</v>
      </c>
      <c r="F302" s="85">
        <v>1963928</v>
      </c>
      <c r="G302" s="112">
        <f t="shared" si="8"/>
        <v>8.3850681286785633E-3</v>
      </c>
      <c r="I302" s="105">
        <v>45474</v>
      </c>
      <c r="J302" s="85">
        <v>78531.929999999993</v>
      </c>
      <c r="K302" s="85">
        <v>79536.22</v>
      </c>
      <c r="L302" s="85">
        <v>78427.789999999994</v>
      </c>
      <c r="M302" s="85">
        <v>78824.33</v>
      </c>
      <c r="N302" s="123">
        <v>163286438</v>
      </c>
      <c r="O302" s="112">
        <f t="shared" si="9"/>
        <v>4.8361296888925764E-3</v>
      </c>
    </row>
    <row r="303" spans="1:15">
      <c r="A303" s="105">
        <v>45471</v>
      </c>
      <c r="B303" s="85">
        <v>124.6</v>
      </c>
      <c r="C303" s="85">
        <v>124.6</v>
      </c>
      <c r="D303" s="85">
        <v>121.6</v>
      </c>
      <c r="E303" s="85">
        <v>124.03</v>
      </c>
      <c r="F303" s="85">
        <v>3455006</v>
      </c>
      <c r="G303" s="112">
        <f t="shared" si="8"/>
        <v>5.6469828977090408E-4</v>
      </c>
      <c r="I303" s="105">
        <v>45471</v>
      </c>
      <c r="J303" s="85">
        <v>78698.47</v>
      </c>
      <c r="K303" s="85">
        <v>78784.23</v>
      </c>
      <c r="L303" s="85">
        <v>78312.36</v>
      </c>
      <c r="M303" s="85">
        <v>78444.960000000006</v>
      </c>
      <c r="N303" s="123">
        <v>206490563</v>
      </c>
      <c r="O303" s="112">
        <f t="shared" si="9"/>
        <v>-1.0606374139242591E-3</v>
      </c>
    </row>
    <row r="304" spans="1:15">
      <c r="A304" s="105">
        <v>45470</v>
      </c>
      <c r="B304" s="85">
        <v>125</v>
      </c>
      <c r="C304" s="85">
        <v>126</v>
      </c>
      <c r="D304" s="85">
        <v>123.25</v>
      </c>
      <c r="E304" s="85">
        <v>123.96</v>
      </c>
      <c r="F304" s="85">
        <v>1148778</v>
      </c>
      <c r="G304" s="112">
        <f t="shared" si="8"/>
        <v>2.0208552259315393E-3</v>
      </c>
      <c r="I304" s="105">
        <v>45470</v>
      </c>
      <c r="J304" s="85">
        <v>78470.34</v>
      </c>
      <c r="K304" s="85">
        <v>78978.600000000006</v>
      </c>
      <c r="L304" s="85">
        <v>78294.22</v>
      </c>
      <c r="M304" s="85">
        <v>78528.25</v>
      </c>
      <c r="N304" s="123">
        <v>137886062</v>
      </c>
      <c r="O304" s="112">
        <f t="shared" si="9"/>
        <v>3.2271853669929573E-3</v>
      </c>
    </row>
    <row r="305" spans="1:15">
      <c r="A305" s="105">
        <v>45469</v>
      </c>
      <c r="B305" s="85">
        <v>126.95</v>
      </c>
      <c r="C305" s="85">
        <v>126.95</v>
      </c>
      <c r="D305" s="85">
        <v>123.25</v>
      </c>
      <c r="E305" s="85">
        <v>123.71</v>
      </c>
      <c r="F305" s="85">
        <v>2146667</v>
      </c>
      <c r="G305" s="112">
        <f t="shared" si="8"/>
        <v>-2.0584276779352484E-2</v>
      </c>
      <c r="I305" s="105">
        <v>45469</v>
      </c>
      <c r="J305" s="85">
        <v>77968.91</v>
      </c>
      <c r="K305" s="85">
        <v>78679.490000000005</v>
      </c>
      <c r="L305" s="85">
        <v>77968.899999999994</v>
      </c>
      <c r="M305" s="85">
        <v>78275.64</v>
      </c>
      <c r="N305" s="123">
        <v>219556647</v>
      </c>
      <c r="O305" s="112">
        <f t="shared" si="9"/>
        <v>4.2989159177413416E-3</v>
      </c>
    </row>
    <row r="306" spans="1:15">
      <c r="A306" s="105">
        <v>45468</v>
      </c>
      <c r="B306" s="85">
        <v>126.8</v>
      </c>
      <c r="C306" s="85">
        <v>128.30000000000001</v>
      </c>
      <c r="D306" s="85">
        <v>125.5</v>
      </c>
      <c r="E306" s="85">
        <v>126.31</v>
      </c>
      <c r="F306" s="85">
        <v>2583232</v>
      </c>
      <c r="G306" s="112">
        <f t="shared" si="8"/>
        <v>-4.0999763462902239E-3</v>
      </c>
      <c r="I306" s="105">
        <v>45468</v>
      </c>
      <c r="J306" s="85">
        <v>78297.399999999994</v>
      </c>
      <c r="K306" s="85">
        <v>78541.210000000006</v>
      </c>
      <c r="L306" s="85">
        <v>77908.98</v>
      </c>
      <c r="M306" s="85">
        <v>77940.58</v>
      </c>
      <c r="N306" s="123">
        <v>130431326</v>
      </c>
      <c r="O306" s="112">
        <f t="shared" si="9"/>
        <v>-3.7262202761040308E-3</v>
      </c>
    </row>
    <row r="307" spans="1:15">
      <c r="A307" s="105">
        <v>45467</v>
      </c>
      <c r="B307" s="85">
        <v>125.8</v>
      </c>
      <c r="C307" s="85">
        <v>129.97999999999999</v>
      </c>
      <c r="D307" s="85">
        <v>125.8</v>
      </c>
      <c r="E307" s="85">
        <v>126.83</v>
      </c>
      <c r="F307" s="85">
        <v>5385468</v>
      </c>
      <c r="G307" s="112">
        <f t="shared" si="8"/>
        <v>9.3911659371268552E-3</v>
      </c>
      <c r="I307" s="105">
        <v>45467</v>
      </c>
      <c r="J307" s="85">
        <v>79247.149999999994</v>
      </c>
      <c r="K307" s="85">
        <v>79388.11</v>
      </c>
      <c r="L307" s="85">
        <v>78167.429999999993</v>
      </c>
      <c r="M307" s="85">
        <v>78232.09</v>
      </c>
      <c r="N307" s="123">
        <v>148576888</v>
      </c>
      <c r="O307" s="112">
        <f t="shared" si="9"/>
        <v>-7.3391245251743786E-3</v>
      </c>
    </row>
    <row r="308" spans="1:15">
      <c r="A308" s="105">
        <v>45464</v>
      </c>
      <c r="B308" s="85">
        <v>123.5</v>
      </c>
      <c r="C308" s="85">
        <v>127.97</v>
      </c>
      <c r="D308" s="85">
        <v>122.4</v>
      </c>
      <c r="E308" s="85">
        <v>125.65</v>
      </c>
      <c r="F308" s="85">
        <v>12901998</v>
      </c>
      <c r="G308" s="112">
        <f t="shared" si="8"/>
        <v>3.0593832020997302E-2</v>
      </c>
      <c r="I308" s="105">
        <v>45464</v>
      </c>
      <c r="J308" s="85">
        <v>79156.52</v>
      </c>
      <c r="K308" s="85">
        <v>80059.87</v>
      </c>
      <c r="L308" s="85">
        <v>78169.02</v>
      </c>
      <c r="M308" s="85">
        <v>78810.490000000005</v>
      </c>
      <c r="N308" s="123">
        <v>207384194</v>
      </c>
      <c r="O308" s="112">
        <f t="shared" si="9"/>
        <v>1.1370337606386727E-4</v>
      </c>
    </row>
    <row r="309" spans="1:15">
      <c r="A309" s="105">
        <v>45463</v>
      </c>
      <c r="B309" s="85">
        <v>113.35</v>
      </c>
      <c r="C309" s="85">
        <v>121.92</v>
      </c>
      <c r="D309" s="85">
        <v>112.06</v>
      </c>
      <c r="E309" s="85">
        <v>121.92</v>
      </c>
      <c r="F309" s="85">
        <v>20943162</v>
      </c>
      <c r="G309" s="112">
        <f t="shared" si="8"/>
        <v>8.4987096200053402E-2</v>
      </c>
      <c r="I309" s="105">
        <v>45463</v>
      </c>
      <c r="J309" s="85">
        <v>76896.820000000007</v>
      </c>
      <c r="K309" s="85">
        <v>78890.37</v>
      </c>
      <c r="L309" s="85">
        <v>76896.81</v>
      </c>
      <c r="M309" s="85">
        <v>78801.53</v>
      </c>
      <c r="N309" s="123">
        <v>211693903</v>
      </c>
      <c r="O309" s="112">
        <f t="shared" si="9"/>
        <v>2.7308671711766763E-2</v>
      </c>
    </row>
    <row r="310" spans="1:15">
      <c r="A310" s="105">
        <v>45457</v>
      </c>
      <c r="B310" s="85">
        <v>110</v>
      </c>
      <c r="C310" s="85">
        <v>113.25</v>
      </c>
      <c r="D310" s="85">
        <v>108.9</v>
      </c>
      <c r="E310" s="85">
        <v>112.37</v>
      </c>
      <c r="F310" s="85">
        <v>5185713</v>
      </c>
      <c r="G310" s="112">
        <f t="shared" si="8"/>
        <v>2.6116336407634E-2</v>
      </c>
      <c r="I310" s="105">
        <v>45457</v>
      </c>
      <c r="J310" s="85">
        <v>76555.91</v>
      </c>
      <c r="K310" s="85">
        <v>77310.45</v>
      </c>
      <c r="L310" s="85">
        <v>76103.56</v>
      </c>
      <c r="M310" s="85">
        <v>76706.77</v>
      </c>
      <c r="N310" s="123">
        <v>212692186</v>
      </c>
      <c r="O310" s="112">
        <f t="shared" si="9"/>
        <v>6.5427376805844428E-3</v>
      </c>
    </row>
    <row r="311" spans="1:15">
      <c r="A311" s="105">
        <v>45456</v>
      </c>
      <c r="B311" s="85">
        <v>105</v>
      </c>
      <c r="C311" s="85">
        <v>110.4</v>
      </c>
      <c r="D311" s="85">
        <v>104.8</v>
      </c>
      <c r="E311" s="85">
        <v>109.51</v>
      </c>
      <c r="F311" s="85">
        <v>5604030</v>
      </c>
      <c r="G311" s="112">
        <f t="shared" si="8"/>
        <v>4.5341733486063296E-2</v>
      </c>
      <c r="I311" s="105">
        <v>45456</v>
      </c>
      <c r="J311" s="85">
        <v>73329.8</v>
      </c>
      <c r="K311" s="85">
        <v>76338.14</v>
      </c>
      <c r="L311" s="85">
        <v>73329.789999999994</v>
      </c>
      <c r="M311" s="85">
        <v>76208.160000000003</v>
      </c>
      <c r="N311" s="123">
        <v>344982490</v>
      </c>
      <c r="O311" s="112">
        <f t="shared" si="9"/>
        <v>4.6852340803789527E-2</v>
      </c>
    </row>
    <row r="312" spans="1:15">
      <c r="A312" s="105">
        <v>45455</v>
      </c>
      <c r="B312" s="85">
        <v>104.07</v>
      </c>
      <c r="C312" s="85">
        <v>106.44</v>
      </c>
      <c r="D312" s="85">
        <v>104.06</v>
      </c>
      <c r="E312" s="85">
        <v>104.76</v>
      </c>
      <c r="F312" s="85">
        <v>391283</v>
      </c>
      <c r="G312" s="112">
        <f t="shared" si="8"/>
        <v>-2.2857142857142243E-3</v>
      </c>
      <c r="I312" s="105">
        <v>45455</v>
      </c>
      <c r="J312" s="85">
        <v>72545.240000000005</v>
      </c>
      <c r="K312" s="85">
        <v>73169</v>
      </c>
      <c r="L312" s="85">
        <v>72464.240000000005</v>
      </c>
      <c r="M312" s="85">
        <v>72797.429999999993</v>
      </c>
      <c r="N312" s="123">
        <v>106573282</v>
      </c>
      <c r="O312" s="112">
        <f t="shared" si="9"/>
        <v>2.8646020243425774E-3</v>
      </c>
    </row>
    <row r="313" spans="1:15">
      <c r="A313" s="105">
        <v>45454</v>
      </c>
      <c r="B313" s="85">
        <v>105.48</v>
      </c>
      <c r="C313" s="85">
        <v>107.25</v>
      </c>
      <c r="D313" s="85">
        <v>104.5</v>
      </c>
      <c r="E313" s="85">
        <v>105</v>
      </c>
      <c r="F313" s="85">
        <v>619877</v>
      </c>
      <c r="G313" s="112">
        <f t="shared" si="8"/>
        <v>-4.550625711035261E-3</v>
      </c>
      <c r="I313" s="105">
        <v>45454</v>
      </c>
      <c r="J313" s="85">
        <v>73779.990000000005</v>
      </c>
      <c r="K313" s="85">
        <v>73866.44</v>
      </c>
      <c r="L313" s="85">
        <v>72476.05</v>
      </c>
      <c r="M313" s="85">
        <v>72589.490000000005</v>
      </c>
      <c r="N313" s="123">
        <v>142282731</v>
      </c>
      <c r="O313" s="112">
        <f t="shared" si="9"/>
        <v>-9.0518338198691817E-3</v>
      </c>
    </row>
    <row r="314" spans="1:15">
      <c r="A314" s="105">
        <v>45453</v>
      </c>
      <c r="B314" s="85">
        <v>106.48</v>
      </c>
      <c r="C314" s="85">
        <v>107.46</v>
      </c>
      <c r="D314" s="85">
        <v>105.1</v>
      </c>
      <c r="E314" s="85">
        <v>105.48</v>
      </c>
      <c r="F314" s="85">
        <v>1047371</v>
      </c>
      <c r="G314" s="112">
        <f t="shared" si="8"/>
        <v>-1.2821712681328923E-2</v>
      </c>
      <c r="I314" s="105">
        <v>45453</v>
      </c>
      <c r="J314" s="85">
        <v>73841.919999999998</v>
      </c>
      <c r="K314" s="85">
        <v>73915.45</v>
      </c>
      <c r="L314" s="85">
        <v>72981.34</v>
      </c>
      <c r="M314" s="85">
        <v>73252.56</v>
      </c>
      <c r="N314" s="123">
        <v>89516431</v>
      </c>
      <c r="O314" s="112">
        <f t="shared" si="9"/>
        <v>-6.7989523552685061E-3</v>
      </c>
    </row>
    <row r="315" spans="1:15">
      <c r="A315" s="105">
        <v>45450</v>
      </c>
      <c r="B315" s="85">
        <v>108.82</v>
      </c>
      <c r="C315" s="85">
        <v>109.5</v>
      </c>
      <c r="D315" s="85">
        <v>104.12</v>
      </c>
      <c r="E315" s="85">
        <v>106.85</v>
      </c>
      <c r="F315" s="85">
        <v>2526399</v>
      </c>
      <c r="G315" s="112">
        <f t="shared" si="8"/>
        <v>-1.8103289836427172E-2</v>
      </c>
      <c r="I315" s="105">
        <v>45450</v>
      </c>
      <c r="J315" s="85">
        <v>73805.95</v>
      </c>
      <c r="K315" s="85">
        <v>73902.78</v>
      </c>
      <c r="L315" s="85">
        <v>71781.960000000006</v>
      </c>
      <c r="M315" s="85">
        <v>73754.009999999995</v>
      </c>
      <c r="N315" s="123">
        <v>208556823</v>
      </c>
      <c r="O315" s="112">
        <f t="shared" si="9"/>
        <v>-1.474623332705538E-3</v>
      </c>
    </row>
    <row r="316" spans="1:15">
      <c r="A316" s="105">
        <v>45449</v>
      </c>
      <c r="B316" s="85">
        <v>108.85</v>
      </c>
      <c r="C316" s="85">
        <v>110.49</v>
      </c>
      <c r="D316" s="85">
        <v>108.1</v>
      </c>
      <c r="E316" s="85">
        <v>108.82</v>
      </c>
      <c r="F316" s="85">
        <v>1251708</v>
      </c>
      <c r="G316" s="112">
        <f t="shared" si="8"/>
        <v>-2.756086357372789E-4</v>
      </c>
      <c r="I316" s="105">
        <v>45449</v>
      </c>
      <c r="J316" s="85">
        <v>74276.84</v>
      </c>
      <c r="K316" s="85">
        <v>74593.320000000007</v>
      </c>
      <c r="L316" s="85">
        <v>73768.39</v>
      </c>
      <c r="M316" s="85">
        <v>73862.929999999993</v>
      </c>
      <c r="N316" s="123">
        <v>112794549</v>
      </c>
      <c r="O316" s="112">
        <f t="shared" si="9"/>
        <v>-4.8033244124887631E-3</v>
      </c>
    </row>
    <row r="317" spans="1:15">
      <c r="A317" s="105">
        <v>45448</v>
      </c>
      <c r="B317" s="85">
        <v>112</v>
      </c>
      <c r="C317" s="85">
        <v>112</v>
      </c>
      <c r="D317" s="85">
        <v>108.4</v>
      </c>
      <c r="E317" s="85">
        <v>108.85</v>
      </c>
      <c r="F317" s="85">
        <v>2994912</v>
      </c>
      <c r="G317" s="112">
        <f t="shared" si="8"/>
        <v>-2.7951419896410146E-2</v>
      </c>
      <c r="I317" s="105">
        <v>45448</v>
      </c>
      <c r="J317" s="85">
        <v>74672.38</v>
      </c>
      <c r="K317" s="85">
        <v>74758.11</v>
      </c>
      <c r="L317" s="85">
        <v>74136.52</v>
      </c>
      <c r="M317" s="85">
        <v>74219.429999999993</v>
      </c>
      <c r="N317" s="123">
        <v>138895935</v>
      </c>
      <c r="O317" s="112">
        <f t="shared" si="9"/>
        <v>-5.9895549083828215E-3</v>
      </c>
    </row>
    <row r="318" spans="1:15">
      <c r="A318" s="105">
        <v>45447</v>
      </c>
      <c r="B318" s="85">
        <v>113.08</v>
      </c>
      <c r="C318" s="85">
        <v>113.5</v>
      </c>
      <c r="D318" s="85">
        <v>111.22</v>
      </c>
      <c r="E318" s="85">
        <v>111.98</v>
      </c>
      <c r="F318" s="85">
        <v>2328511</v>
      </c>
      <c r="G318" s="112">
        <f t="shared" si="8"/>
        <v>-9.7276264591439343E-3</v>
      </c>
      <c r="I318" s="105">
        <v>45447</v>
      </c>
      <c r="J318" s="85">
        <v>75657.679999999993</v>
      </c>
      <c r="K318" s="85">
        <v>75669.759999999995</v>
      </c>
      <c r="L318" s="85">
        <v>74592.740000000005</v>
      </c>
      <c r="M318" s="85">
        <v>74666.649999999994</v>
      </c>
      <c r="N318" s="123">
        <v>179207660</v>
      </c>
      <c r="O318" s="112">
        <f t="shared" si="9"/>
        <v>-1.2022454441103503E-2</v>
      </c>
    </row>
    <row r="319" spans="1:15">
      <c r="A319" s="105">
        <v>45446</v>
      </c>
      <c r="B319" s="85">
        <v>114</v>
      </c>
      <c r="C319" s="85">
        <v>114.49</v>
      </c>
      <c r="D319" s="85">
        <v>112.9</v>
      </c>
      <c r="E319" s="85">
        <v>113.08</v>
      </c>
      <c r="F319" s="85">
        <v>1294625</v>
      </c>
      <c r="G319" s="112">
        <f t="shared" si="8"/>
        <v>-7.809072562955155E-3</v>
      </c>
      <c r="I319" s="105">
        <v>45446</v>
      </c>
      <c r="J319" s="85">
        <v>76091.42</v>
      </c>
      <c r="K319" s="85">
        <v>76209.960000000006</v>
      </c>
      <c r="L319" s="85">
        <v>75495.38</v>
      </c>
      <c r="M319" s="85">
        <v>75575.25</v>
      </c>
      <c r="N319" s="123">
        <v>190984190</v>
      </c>
      <c r="O319" s="112">
        <f t="shared" si="9"/>
        <v>-3.9961269646053843E-3</v>
      </c>
    </row>
    <row r="320" spans="1:15">
      <c r="A320" s="105">
        <v>45443</v>
      </c>
      <c r="B320" s="85">
        <v>114</v>
      </c>
      <c r="C320" s="85">
        <v>114.38</v>
      </c>
      <c r="D320" s="85">
        <v>113.4</v>
      </c>
      <c r="E320" s="85">
        <v>113.97</v>
      </c>
      <c r="F320" s="85">
        <v>2288708</v>
      </c>
      <c r="G320" s="112">
        <f t="shared" si="8"/>
        <v>2.1102611448167163E-3</v>
      </c>
      <c r="I320" s="105">
        <v>45443</v>
      </c>
      <c r="J320" s="85">
        <v>75078.429999999993</v>
      </c>
      <c r="K320" s="85">
        <v>75953.740000000005</v>
      </c>
      <c r="L320" s="85">
        <v>74989.259999999995</v>
      </c>
      <c r="M320" s="85">
        <v>75878.47</v>
      </c>
      <c r="N320" s="123">
        <v>243527055</v>
      </c>
      <c r="O320" s="112">
        <f t="shared" si="9"/>
        <v>1.3359710420079995E-2</v>
      </c>
    </row>
    <row r="321" spans="1:15">
      <c r="A321" s="105">
        <v>45442</v>
      </c>
      <c r="B321" s="85">
        <v>114.4</v>
      </c>
      <c r="C321" s="85">
        <v>114.5</v>
      </c>
      <c r="D321" s="85">
        <v>113.36</v>
      </c>
      <c r="E321" s="85">
        <v>113.73</v>
      </c>
      <c r="F321" s="85">
        <v>1100479</v>
      </c>
      <c r="G321" s="112">
        <f t="shared" si="8"/>
        <v>-7.9072219293607748E-4</v>
      </c>
      <c r="I321" s="105">
        <v>45442</v>
      </c>
      <c r="J321" s="85">
        <v>74986.02</v>
      </c>
      <c r="K321" s="85">
        <v>75300.03</v>
      </c>
      <c r="L321" s="85">
        <v>74585.350000000006</v>
      </c>
      <c r="M321" s="85">
        <v>74878.12</v>
      </c>
      <c r="N321" s="123">
        <v>175803745</v>
      </c>
      <c r="O321" s="112">
        <f t="shared" si="9"/>
        <v>5.5881971716931211E-4</v>
      </c>
    </row>
    <row r="322" spans="1:15">
      <c r="A322" s="105">
        <v>45441</v>
      </c>
      <c r="B322" s="85">
        <v>114.75</v>
      </c>
      <c r="C322" s="85">
        <v>115.35</v>
      </c>
      <c r="D322" s="85">
        <v>113.1</v>
      </c>
      <c r="E322" s="85">
        <v>113.82</v>
      </c>
      <c r="F322" s="85">
        <v>1996194</v>
      </c>
      <c r="G322" s="112">
        <f t="shared" si="8"/>
        <v>-1.6928657799274549E-2</v>
      </c>
      <c r="I322" s="105">
        <v>45441</v>
      </c>
      <c r="J322" s="85">
        <v>75617.789999999994</v>
      </c>
      <c r="K322" s="85">
        <v>75667.3</v>
      </c>
      <c r="L322" s="85">
        <v>74760.100000000006</v>
      </c>
      <c r="M322" s="85">
        <v>74836.3</v>
      </c>
      <c r="N322" s="123">
        <v>192576105</v>
      </c>
      <c r="O322" s="112">
        <f t="shared" si="9"/>
        <v>-9.0201632787534347E-3</v>
      </c>
    </row>
    <row r="323" spans="1:15">
      <c r="A323" s="105">
        <v>45439</v>
      </c>
      <c r="B323" s="85">
        <v>114.6</v>
      </c>
      <c r="C323" s="85">
        <v>116.8</v>
      </c>
      <c r="D323" s="85">
        <v>113.83</v>
      </c>
      <c r="E323" s="85">
        <v>115.78</v>
      </c>
      <c r="F323" s="85">
        <v>6155777</v>
      </c>
      <c r="G323" s="112">
        <f t="shared" si="8"/>
        <v>1.3037011112083219E-2</v>
      </c>
      <c r="I323" s="105">
        <v>45439</v>
      </c>
      <c r="J323" s="85">
        <v>76089.66</v>
      </c>
      <c r="K323" s="85">
        <v>76187.44</v>
      </c>
      <c r="L323" s="85">
        <v>75485.62</v>
      </c>
      <c r="M323" s="85">
        <v>75517.48</v>
      </c>
      <c r="N323" s="123">
        <v>195296629</v>
      </c>
      <c r="O323" s="112">
        <f t="shared" si="9"/>
        <v>-6.1270259951465844E-3</v>
      </c>
    </row>
    <row r="324" spans="1:15">
      <c r="A324" s="105">
        <v>45436</v>
      </c>
      <c r="B324" s="85">
        <v>113.25</v>
      </c>
      <c r="C324" s="85">
        <v>114.95</v>
      </c>
      <c r="D324" s="85">
        <v>113.05</v>
      </c>
      <c r="E324" s="85">
        <v>114.29</v>
      </c>
      <c r="F324" s="85">
        <v>2939584</v>
      </c>
      <c r="G324" s="112">
        <f t="shared" ref="G324:G387" si="10">E324/E325-1</f>
        <v>8.826904404625191E-3</v>
      </c>
      <c r="I324" s="105">
        <v>45436</v>
      </c>
      <c r="J324" s="85">
        <v>75266.61</v>
      </c>
      <c r="K324" s="85">
        <v>76248.75</v>
      </c>
      <c r="L324" s="85">
        <v>75263.05</v>
      </c>
      <c r="M324" s="85">
        <v>75983.03</v>
      </c>
      <c r="N324" s="123">
        <v>310418114</v>
      </c>
      <c r="O324" s="112">
        <f t="shared" ref="O324:O387" si="11">M324/M325-1</f>
        <v>1.1563151547231865E-2</v>
      </c>
    </row>
    <row r="325" spans="1:15">
      <c r="A325" s="105">
        <v>45435</v>
      </c>
      <c r="B325" s="85">
        <v>112.75</v>
      </c>
      <c r="C325" s="85">
        <v>113.97</v>
      </c>
      <c r="D325" s="85">
        <v>112.26</v>
      </c>
      <c r="E325" s="85">
        <v>113.29</v>
      </c>
      <c r="F325" s="85">
        <v>905976</v>
      </c>
      <c r="G325" s="112">
        <f t="shared" si="10"/>
        <v>3.1878154609050746E-3</v>
      </c>
      <c r="I325" s="105">
        <v>45435</v>
      </c>
      <c r="J325" s="85">
        <v>74982.16</v>
      </c>
      <c r="K325" s="85">
        <v>75284.740000000005</v>
      </c>
      <c r="L325" s="85">
        <v>74726.06</v>
      </c>
      <c r="M325" s="85">
        <v>75114.47</v>
      </c>
      <c r="N325" s="123">
        <v>336883972</v>
      </c>
      <c r="O325" s="112">
        <f t="shared" si="11"/>
        <v>2.1052162536037144E-3</v>
      </c>
    </row>
    <row r="326" spans="1:15">
      <c r="A326" s="105">
        <v>45434</v>
      </c>
      <c r="B326" s="85">
        <v>113.9</v>
      </c>
      <c r="C326" s="85">
        <v>114.25</v>
      </c>
      <c r="D326" s="85">
        <v>112.51</v>
      </c>
      <c r="E326" s="85">
        <v>112.93</v>
      </c>
      <c r="F326" s="85">
        <v>777246</v>
      </c>
      <c r="G326" s="112">
        <f t="shared" si="10"/>
        <v>-6.8595550083544454E-3</v>
      </c>
      <c r="I326" s="105">
        <v>45434</v>
      </c>
      <c r="J326" s="85">
        <v>75346.33</v>
      </c>
      <c r="K326" s="85">
        <v>75513.89</v>
      </c>
      <c r="L326" s="85">
        <v>74835.48</v>
      </c>
      <c r="M326" s="85">
        <v>74956.67</v>
      </c>
      <c r="N326" s="123">
        <v>183367088</v>
      </c>
      <c r="O326" s="112">
        <f t="shared" si="11"/>
        <v>-3.325498489032408E-3</v>
      </c>
    </row>
    <row r="327" spans="1:15">
      <c r="A327" s="105">
        <v>45433</v>
      </c>
      <c r="B327" s="85">
        <v>113.5</v>
      </c>
      <c r="C327" s="85">
        <v>114.7</v>
      </c>
      <c r="D327" s="85">
        <v>113.3</v>
      </c>
      <c r="E327" s="85">
        <v>113.71</v>
      </c>
      <c r="F327" s="85">
        <v>1899860</v>
      </c>
      <c r="G327" s="112">
        <f t="shared" si="10"/>
        <v>-7.0304947710708721E-4</v>
      </c>
      <c r="I327" s="105">
        <v>45433</v>
      </c>
      <c r="J327" s="85">
        <v>75158.679999999993</v>
      </c>
      <c r="K327" s="85">
        <v>75482.460000000006</v>
      </c>
      <c r="L327" s="85">
        <v>74958.09</v>
      </c>
      <c r="M327" s="85">
        <v>75206.77</v>
      </c>
      <c r="N327" s="123">
        <v>159509646</v>
      </c>
      <c r="O327" s="112">
        <f t="shared" si="11"/>
        <v>1.6351020190721322E-3</v>
      </c>
    </row>
    <row r="328" spans="1:15">
      <c r="A328" s="105">
        <v>45432</v>
      </c>
      <c r="B328" s="85">
        <v>116.1</v>
      </c>
      <c r="C328" s="85">
        <v>116.1</v>
      </c>
      <c r="D328" s="85">
        <v>113.27</v>
      </c>
      <c r="E328" s="85">
        <v>113.79</v>
      </c>
      <c r="F328" s="85">
        <v>1263164</v>
      </c>
      <c r="G328" s="112">
        <f t="shared" si="10"/>
        <v>-1.4463883596050442E-2</v>
      </c>
      <c r="I328" s="105">
        <v>45432</v>
      </c>
      <c r="J328" s="85">
        <v>75454.97</v>
      </c>
      <c r="K328" s="85">
        <v>75618.490000000005</v>
      </c>
      <c r="L328" s="85">
        <v>74734.240000000005</v>
      </c>
      <c r="M328" s="85">
        <v>75084</v>
      </c>
      <c r="N328" s="123">
        <v>141358802</v>
      </c>
      <c r="O328" s="112">
        <f t="shared" si="11"/>
        <v>-3.428882086752183E-3</v>
      </c>
    </row>
    <row r="329" spans="1:15">
      <c r="A329" s="105">
        <v>45429</v>
      </c>
      <c r="B329" s="85">
        <v>116</v>
      </c>
      <c r="C329" s="85">
        <v>116.74</v>
      </c>
      <c r="D329" s="85">
        <v>115.25</v>
      </c>
      <c r="E329" s="85">
        <v>115.46</v>
      </c>
      <c r="F329" s="85">
        <v>1108541</v>
      </c>
      <c r="G329" s="112">
        <f t="shared" si="10"/>
        <v>-4.4835316433868844E-3</v>
      </c>
      <c r="I329" s="105">
        <v>45429</v>
      </c>
      <c r="J329" s="85">
        <v>74981.289999999994</v>
      </c>
      <c r="K329" s="85">
        <v>75401.11</v>
      </c>
      <c r="L329" s="85">
        <v>74947.710000000006</v>
      </c>
      <c r="M329" s="85">
        <v>75342.34</v>
      </c>
      <c r="N329" s="123">
        <v>188724737</v>
      </c>
      <c r="O329" s="112">
        <f t="shared" si="11"/>
        <v>5.4937436182689314E-3</v>
      </c>
    </row>
    <row r="330" spans="1:15">
      <c r="A330" s="105">
        <v>45428</v>
      </c>
      <c r="B330" s="85">
        <v>115.5</v>
      </c>
      <c r="C330" s="85">
        <v>116.4</v>
      </c>
      <c r="D330" s="85">
        <v>114.8</v>
      </c>
      <c r="E330" s="85">
        <v>115.98</v>
      </c>
      <c r="F330" s="85">
        <v>4248282</v>
      </c>
      <c r="G330" s="112">
        <f t="shared" si="10"/>
        <v>7.6455256298870733E-3</v>
      </c>
      <c r="I330" s="105">
        <v>45428</v>
      </c>
      <c r="J330" s="85">
        <v>74744.649999999994</v>
      </c>
      <c r="K330" s="85">
        <v>75029.03</v>
      </c>
      <c r="L330" s="85">
        <v>74450.25</v>
      </c>
      <c r="M330" s="85">
        <v>74930.69</v>
      </c>
      <c r="N330" s="123">
        <v>170467012</v>
      </c>
      <c r="O330" s="112">
        <f t="shared" si="11"/>
        <v>3.5721374617319057E-3</v>
      </c>
    </row>
    <row r="331" spans="1:15">
      <c r="A331" s="105">
        <v>45427</v>
      </c>
      <c r="B331" s="85">
        <v>115.01</v>
      </c>
      <c r="C331" s="85">
        <v>115.85</v>
      </c>
      <c r="D331" s="85">
        <v>114.5</v>
      </c>
      <c r="E331" s="85">
        <v>115.1</v>
      </c>
      <c r="F331" s="85">
        <v>2513749</v>
      </c>
      <c r="G331" s="112">
        <f t="shared" si="10"/>
        <v>1.7406440382941035E-3</v>
      </c>
      <c r="I331" s="105">
        <v>45427</v>
      </c>
      <c r="J331" s="85">
        <v>74771.179999999993</v>
      </c>
      <c r="K331" s="85">
        <v>75115.320000000007</v>
      </c>
      <c r="L331" s="85">
        <v>74440.87</v>
      </c>
      <c r="M331" s="85">
        <v>74663.98</v>
      </c>
      <c r="N331" s="123">
        <v>251456212</v>
      </c>
      <c r="O331" s="112">
        <f t="shared" si="11"/>
        <v>1.7816701974031623E-3</v>
      </c>
    </row>
    <row r="332" spans="1:15">
      <c r="A332" s="105">
        <v>45426</v>
      </c>
      <c r="B332" s="85">
        <v>113.1</v>
      </c>
      <c r="C332" s="85">
        <v>115.26</v>
      </c>
      <c r="D332" s="85">
        <v>113.1</v>
      </c>
      <c r="E332" s="85">
        <v>114.9</v>
      </c>
      <c r="F332" s="85">
        <v>4424900</v>
      </c>
      <c r="G332" s="112">
        <f t="shared" si="10"/>
        <v>1.2959534514678683E-2</v>
      </c>
      <c r="I332" s="105">
        <v>45426</v>
      </c>
      <c r="J332" s="85">
        <v>74022.179999999993</v>
      </c>
      <c r="K332" s="85">
        <v>74575.3</v>
      </c>
      <c r="L332" s="85">
        <v>73977</v>
      </c>
      <c r="M332" s="85">
        <v>74531.19</v>
      </c>
      <c r="N332" s="123">
        <v>257367216</v>
      </c>
      <c r="O332" s="112">
        <f t="shared" si="11"/>
        <v>9.9199028280965162E-3</v>
      </c>
    </row>
    <row r="333" spans="1:15">
      <c r="A333" s="105">
        <v>45425</v>
      </c>
      <c r="B333" s="85">
        <v>113.41</v>
      </c>
      <c r="C333" s="85">
        <v>114.1</v>
      </c>
      <c r="D333" s="85">
        <v>113</v>
      </c>
      <c r="E333" s="85">
        <v>113.43</v>
      </c>
      <c r="F333" s="85">
        <v>1666197</v>
      </c>
      <c r="G333" s="112">
        <f t="shared" si="10"/>
        <v>4.1607648725212609E-3</v>
      </c>
      <c r="I333" s="105">
        <v>45425</v>
      </c>
      <c r="J333" s="85">
        <v>73315.02</v>
      </c>
      <c r="K333" s="85">
        <v>74114.22</v>
      </c>
      <c r="L333" s="85">
        <v>73109.759999999995</v>
      </c>
      <c r="M333" s="85">
        <v>73799.11</v>
      </c>
      <c r="N333" s="123">
        <v>308961397</v>
      </c>
      <c r="O333" s="112">
        <f t="shared" si="11"/>
        <v>9.7640434833174972E-3</v>
      </c>
    </row>
    <row r="334" spans="1:15">
      <c r="A334" s="105">
        <v>45422</v>
      </c>
      <c r="B334" s="85">
        <v>113.2</v>
      </c>
      <c r="C334" s="85">
        <v>113.8</v>
      </c>
      <c r="D334" s="85">
        <v>112.5</v>
      </c>
      <c r="E334" s="85">
        <v>112.96</v>
      </c>
      <c r="F334" s="85">
        <v>790046</v>
      </c>
      <c r="G334" s="112">
        <f t="shared" si="10"/>
        <v>-5.2835505459669641E-3</v>
      </c>
      <c r="I334" s="105">
        <v>45422</v>
      </c>
      <c r="J334" s="85">
        <v>72888.929999999993</v>
      </c>
      <c r="K334" s="85">
        <v>73449.37</v>
      </c>
      <c r="L334" s="85">
        <v>72876.83</v>
      </c>
      <c r="M334" s="85">
        <v>73085.5</v>
      </c>
      <c r="N334" s="123">
        <v>321305768</v>
      </c>
      <c r="O334" s="112">
        <f t="shared" si="11"/>
        <v>5.883037048200368E-3</v>
      </c>
    </row>
    <row r="335" spans="1:15">
      <c r="A335" s="105">
        <v>45421</v>
      </c>
      <c r="B335" s="85">
        <v>113.51</v>
      </c>
      <c r="C335" s="85">
        <v>114.6</v>
      </c>
      <c r="D335" s="85">
        <v>112.9</v>
      </c>
      <c r="E335" s="85">
        <v>113.56</v>
      </c>
      <c r="F335" s="85">
        <v>1997634</v>
      </c>
      <c r="G335" s="112">
        <f t="shared" si="10"/>
        <v>-1.7580872011252469E-3</v>
      </c>
      <c r="I335" s="105">
        <v>45421</v>
      </c>
      <c r="J335" s="85">
        <v>72819.48</v>
      </c>
      <c r="K335" s="85">
        <v>72889.78</v>
      </c>
      <c r="L335" s="85">
        <v>72325.34</v>
      </c>
      <c r="M335" s="85">
        <v>72658.05</v>
      </c>
      <c r="N335" s="123">
        <v>235199535</v>
      </c>
      <c r="O335" s="112">
        <f t="shared" si="11"/>
        <v>7.7463633482421912E-4</v>
      </c>
    </row>
    <row r="336" spans="1:15">
      <c r="A336" s="105">
        <v>45420</v>
      </c>
      <c r="B336" s="85">
        <v>113.39</v>
      </c>
      <c r="C336" s="85">
        <v>114.3</v>
      </c>
      <c r="D336" s="85">
        <v>112.06</v>
      </c>
      <c r="E336" s="85">
        <v>113.76</v>
      </c>
      <c r="F336" s="85">
        <v>2989702</v>
      </c>
      <c r="G336" s="112">
        <f t="shared" si="10"/>
        <v>7.795889440113557E-3</v>
      </c>
      <c r="I336" s="105">
        <v>45420</v>
      </c>
      <c r="J336" s="85">
        <v>73079.179999999993</v>
      </c>
      <c r="K336" s="85">
        <v>73079.179999999993</v>
      </c>
      <c r="L336" s="85">
        <v>72358.19</v>
      </c>
      <c r="M336" s="85">
        <v>72601.81</v>
      </c>
      <c r="N336" s="123">
        <v>254873342</v>
      </c>
      <c r="O336" s="112">
        <f t="shared" si="11"/>
        <v>-2.1904534546508536E-3</v>
      </c>
    </row>
    <row r="337" spans="1:15">
      <c r="A337" s="105">
        <v>45419</v>
      </c>
      <c r="B337" s="85">
        <v>111.98</v>
      </c>
      <c r="C337" s="85">
        <v>113.49</v>
      </c>
      <c r="D337" s="85">
        <v>111.5</v>
      </c>
      <c r="E337" s="85">
        <v>112.88</v>
      </c>
      <c r="F337" s="85">
        <v>3366186</v>
      </c>
      <c r="G337" s="112">
        <f t="shared" si="10"/>
        <v>7.8571428571427848E-3</v>
      </c>
      <c r="I337" s="105">
        <v>45419</v>
      </c>
      <c r="J337" s="85">
        <v>73062.52</v>
      </c>
      <c r="K337" s="85">
        <v>73260.08</v>
      </c>
      <c r="L337" s="85">
        <v>72707.95</v>
      </c>
      <c r="M337" s="85">
        <v>72761.19</v>
      </c>
      <c r="N337" s="123">
        <v>269925733</v>
      </c>
      <c r="O337" s="112">
        <f t="shared" si="11"/>
        <v>-4.1916193998625673E-5</v>
      </c>
    </row>
    <row r="338" spans="1:15">
      <c r="A338" s="105">
        <v>45418</v>
      </c>
      <c r="B338" s="85">
        <v>113.02</v>
      </c>
      <c r="C338" s="85">
        <v>113.35</v>
      </c>
      <c r="D338" s="85">
        <v>111.4</v>
      </c>
      <c r="E338" s="85">
        <v>112</v>
      </c>
      <c r="F338" s="85">
        <v>2726018</v>
      </c>
      <c r="G338" s="112">
        <f t="shared" si="10"/>
        <v>-8.92060660124816E-4</v>
      </c>
      <c r="I338" s="105">
        <v>45418</v>
      </c>
      <c r="J338" s="85">
        <v>72485.86</v>
      </c>
      <c r="K338" s="85">
        <v>73060.740000000005</v>
      </c>
      <c r="L338" s="85">
        <v>72462.490000000005</v>
      </c>
      <c r="M338" s="85">
        <v>72764.240000000005</v>
      </c>
      <c r="N338" s="123">
        <v>313376780</v>
      </c>
      <c r="O338" s="112">
        <f t="shared" si="11"/>
        <v>1.199061112131794E-2</v>
      </c>
    </row>
    <row r="339" spans="1:15">
      <c r="A339" s="105">
        <v>45415</v>
      </c>
      <c r="B339" s="85">
        <v>111.73</v>
      </c>
      <c r="C339" s="85">
        <v>113.88</v>
      </c>
      <c r="D339" s="85">
        <v>111.73</v>
      </c>
      <c r="E339" s="85">
        <v>112.1</v>
      </c>
      <c r="F339" s="85">
        <v>6791235</v>
      </c>
      <c r="G339" s="112">
        <f t="shared" si="10"/>
        <v>-4.5289050705976663E-3</v>
      </c>
      <c r="I339" s="105">
        <v>45415</v>
      </c>
      <c r="J339" s="85">
        <v>70734.47</v>
      </c>
      <c r="K339" s="85">
        <v>71986.429999999993</v>
      </c>
      <c r="L339" s="85">
        <v>70671.710000000006</v>
      </c>
      <c r="M339" s="85">
        <v>71902.09</v>
      </c>
      <c r="N339" s="123">
        <v>228543691</v>
      </c>
      <c r="O339" s="112">
        <f t="shared" si="11"/>
        <v>1.7612391243183367E-2</v>
      </c>
    </row>
    <row r="340" spans="1:15">
      <c r="A340" s="105">
        <v>45414</v>
      </c>
      <c r="B340" s="85">
        <v>113.5</v>
      </c>
      <c r="C340" s="85">
        <v>115.75</v>
      </c>
      <c r="D340" s="85">
        <v>112</v>
      </c>
      <c r="E340" s="85">
        <v>112.61</v>
      </c>
      <c r="F340" s="85">
        <v>3468446</v>
      </c>
      <c r="G340" s="112">
        <f t="shared" si="10"/>
        <v>-3.3141581523138952E-2</v>
      </c>
      <c r="I340" s="105">
        <v>45414</v>
      </c>
      <c r="J340" s="85">
        <v>71199.95</v>
      </c>
      <c r="K340" s="85">
        <v>71292.83</v>
      </c>
      <c r="L340" s="85">
        <v>70562.12</v>
      </c>
      <c r="M340" s="85">
        <v>70657.64</v>
      </c>
      <c r="N340" s="123">
        <v>225619410</v>
      </c>
      <c r="O340" s="112">
        <f t="shared" si="11"/>
        <v>-6.2571604333684361E-3</v>
      </c>
    </row>
    <row r="341" spans="1:15">
      <c r="A341" s="105">
        <v>45412</v>
      </c>
      <c r="B341" s="85">
        <v>116.94</v>
      </c>
      <c r="C341" s="85">
        <v>118.2</v>
      </c>
      <c r="D341" s="85">
        <v>116</v>
      </c>
      <c r="E341" s="85">
        <v>116.47</v>
      </c>
      <c r="F341" s="85">
        <v>4028185</v>
      </c>
      <c r="G341" s="112">
        <f t="shared" si="10"/>
        <v>-1.799794309221836E-3</v>
      </c>
      <c r="I341" s="105">
        <v>45412</v>
      </c>
      <c r="J341" s="85">
        <v>71780.95</v>
      </c>
      <c r="K341" s="85">
        <v>72119.649999999994</v>
      </c>
      <c r="L341" s="85">
        <v>71059.62</v>
      </c>
      <c r="M341" s="85">
        <v>71102.539999999994</v>
      </c>
      <c r="N341" s="123">
        <v>232912683</v>
      </c>
      <c r="O341" s="112">
        <f t="shared" si="11"/>
        <v>-8.2640316908997313E-3</v>
      </c>
    </row>
    <row r="342" spans="1:15">
      <c r="A342" s="105">
        <v>45411</v>
      </c>
      <c r="B342" s="85">
        <v>118.05</v>
      </c>
      <c r="C342" s="85">
        <v>118.8</v>
      </c>
      <c r="D342" s="85">
        <v>115.4</v>
      </c>
      <c r="E342" s="85">
        <v>116.68</v>
      </c>
      <c r="F342" s="85">
        <v>5594822</v>
      </c>
      <c r="G342" s="112">
        <f t="shared" si="10"/>
        <v>-1.026380524217485E-2</v>
      </c>
      <c r="I342" s="105">
        <v>45411</v>
      </c>
      <c r="J342" s="85">
        <v>73022.89</v>
      </c>
      <c r="K342" s="85">
        <v>73300.75</v>
      </c>
      <c r="L342" s="85">
        <v>71602.94</v>
      </c>
      <c r="M342" s="85">
        <v>71695.03</v>
      </c>
      <c r="N342" s="123">
        <v>281385875</v>
      </c>
      <c r="O342" s="112">
        <f t="shared" si="11"/>
        <v>-1.4402949352746441E-2</v>
      </c>
    </row>
    <row r="343" spans="1:15">
      <c r="A343" s="105">
        <v>45408</v>
      </c>
      <c r="B343" s="85">
        <v>118</v>
      </c>
      <c r="C343" s="85">
        <v>118.6</v>
      </c>
      <c r="D343" s="85">
        <v>116.3</v>
      </c>
      <c r="E343" s="85">
        <v>117.89</v>
      </c>
      <c r="F343" s="85">
        <v>3845181</v>
      </c>
      <c r="G343" s="112">
        <f t="shared" si="10"/>
        <v>1.3590418754778621E-3</v>
      </c>
      <c r="I343" s="105">
        <v>45408</v>
      </c>
      <c r="J343" s="85">
        <v>72109.789999999994</v>
      </c>
      <c r="K343" s="85">
        <v>72862.41</v>
      </c>
      <c r="L343" s="85">
        <v>71764.179999999993</v>
      </c>
      <c r="M343" s="85">
        <v>72742.740000000005</v>
      </c>
      <c r="N343" s="123">
        <v>302352233</v>
      </c>
      <c r="O343" s="112">
        <f t="shared" si="11"/>
        <v>1.0717312710326832E-2</v>
      </c>
    </row>
    <row r="344" spans="1:15">
      <c r="A344" s="105">
        <v>45407</v>
      </c>
      <c r="B344" s="85">
        <v>119.4</v>
      </c>
      <c r="C344" s="85">
        <v>119.8</v>
      </c>
      <c r="D344" s="85">
        <v>117.26</v>
      </c>
      <c r="E344" s="85">
        <v>117.73</v>
      </c>
      <c r="F344" s="85">
        <v>4556109</v>
      </c>
      <c r="G344" s="112">
        <f t="shared" si="10"/>
        <v>-3.9763113367173863E-3</v>
      </c>
      <c r="I344" s="105">
        <v>45407</v>
      </c>
      <c r="J344" s="85">
        <v>72254.38</v>
      </c>
      <c r="K344" s="85">
        <v>72593.25</v>
      </c>
      <c r="L344" s="85">
        <v>71700.53</v>
      </c>
      <c r="M344" s="85">
        <v>71971.399999999994</v>
      </c>
      <c r="N344" s="123">
        <v>424080014</v>
      </c>
      <c r="O344" s="112">
        <f t="shared" si="11"/>
        <v>-1.1171115705640444E-3</v>
      </c>
    </row>
    <row r="345" spans="1:15">
      <c r="A345" s="105">
        <v>45406</v>
      </c>
      <c r="B345" s="85">
        <v>115.99</v>
      </c>
      <c r="C345" s="85">
        <v>119.1</v>
      </c>
      <c r="D345" s="85">
        <v>114.98</v>
      </c>
      <c r="E345" s="85">
        <v>118.2</v>
      </c>
      <c r="F345" s="85">
        <v>12553982</v>
      </c>
      <c r="G345" s="112">
        <f t="shared" si="10"/>
        <v>1.9492841124719718E-2</v>
      </c>
      <c r="I345" s="105">
        <v>45406</v>
      </c>
      <c r="J345" s="85">
        <v>71472.87</v>
      </c>
      <c r="K345" s="85">
        <v>72414.320000000007</v>
      </c>
      <c r="L345" s="85">
        <v>71467.009999999995</v>
      </c>
      <c r="M345" s="85">
        <v>72051.89</v>
      </c>
      <c r="N345" s="123">
        <v>324513222</v>
      </c>
      <c r="O345" s="112">
        <f t="shared" si="11"/>
        <v>9.7042576030628158E-3</v>
      </c>
    </row>
    <row r="346" spans="1:15">
      <c r="A346" s="105">
        <v>45405</v>
      </c>
      <c r="B346" s="85">
        <v>115</v>
      </c>
      <c r="C346" s="85">
        <v>116.6</v>
      </c>
      <c r="D346" s="85">
        <v>113.6</v>
      </c>
      <c r="E346" s="85">
        <v>115.94</v>
      </c>
      <c r="F346" s="85">
        <v>13143411</v>
      </c>
      <c r="G346" s="112">
        <f t="shared" si="10"/>
        <v>1.2311184842399348E-2</v>
      </c>
      <c r="I346" s="105">
        <v>45405</v>
      </c>
      <c r="J346" s="85">
        <v>71553.58</v>
      </c>
      <c r="K346" s="85">
        <v>71846.63</v>
      </c>
      <c r="L346" s="85">
        <v>71338.42</v>
      </c>
      <c r="M346" s="85">
        <v>71359.399999999994</v>
      </c>
      <c r="N346" s="123">
        <v>383445458</v>
      </c>
      <c r="O346" s="112">
        <f t="shared" si="11"/>
        <v>-1.0367690435267862E-3</v>
      </c>
    </row>
    <row r="347" spans="1:15">
      <c r="A347" s="105">
        <v>45404</v>
      </c>
      <c r="B347" s="85">
        <v>115.1</v>
      </c>
      <c r="C347" s="85">
        <v>116.5</v>
      </c>
      <c r="D347" s="85">
        <v>112.51</v>
      </c>
      <c r="E347" s="85">
        <v>114.53</v>
      </c>
      <c r="F347" s="85">
        <v>48145538</v>
      </c>
      <c r="G347" s="112">
        <f t="shared" si="10"/>
        <v>-4.7792839763642903E-3</v>
      </c>
      <c r="I347" s="105">
        <v>45404</v>
      </c>
      <c r="J347" s="85">
        <v>71009.67</v>
      </c>
      <c r="K347" s="85">
        <v>71861.179999999993</v>
      </c>
      <c r="L347" s="85">
        <v>70882.44</v>
      </c>
      <c r="M347" s="85">
        <v>71433.460000000006</v>
      </c>
      <c r="N347" s="123">
        <v>360535650</v>
      </c>
      <c r="O347" s="112">
        <f t="shared" si="11"/>
        <v>7.3834542144328719E-3</v>
      </c>
    </row>
    <row r="348" spans="1:15">
      <c r="A348" s="105">
        <v>45401</v>
      </c>
      <c r="B348" s="85">
        <v>113.4</v>
      </c>
      <c r="C348" s="85">
        <v>115.85</v>
      </c>
      <c r="D348" s="85">
        <v>113.15</v>
      </c>
      <c r="E348" s="85">
        <v>115.08</v>
      </c>
      <c r="F348" s="85">
        <v>2278618</v>
      </c>
      <c r="G348" s="112">
        <f t="shared" si="10"/>
        <v>6.3839090511588203E-3</v>
      </c>
      <c r="I348" s="105">
        <v>45401</v>
      </c>
      <c r="J348" s="85">
        <v>70423.710000000006</v>
      </c>
      <c r="K348" s="85">
        <v>70698.98</v>
      </c>
      <c r="L348" s="85">
        <v>70186.929999999993</v>
      </c>
      <c r="M348" s="85">
        <v>70909.899999999994</v>
      </c>
      <c r="N348" s="123">
        <v>214724945</v>
      </c>
      <c r="O348" s="112">
        <f t="shared" si="11"/>
        <v>8.8175989481307226E-3</v>
      </c>
    </row>
    <row r="349" spans="1:15">
      <c r="A349" s="105">
        <v>45400</v>
      </c>
      <c r="B349" s="85">
        <v>115.8</v>
      </c>
      <c r="C349" s="85">
        <v>116.73</v>
      </c>
      <c r="D349" s="85">
        <v>113.6</v>
      </c>
      <c r="E349" s="85">
        <v>114.35</v>
      </c>
      <c r="F349" s="85">
        <v>3250009</v>
      </c>
      <c r="G349" s="112">
        <f t="shared" si="10"/>
        <v>-9.270490382949248E-3</v>
      </c>
      <c r="I349" s="105">
        <v>45400</v>
      </c>
      <c r="J349" s="85">
        <v>70506.2</v>
      </c>
      <c r="K349" s="85">
        <v>70645.289999999994</v>
      </c>
      <c r="L349" s="85">
        <v>69783.31</v>
      </c>
      <c r="M349" s="85">
        <v>70290.11</v>
      </c>
      <c r="N349" s="123">
        <v>237694811</v>
      </c>
      <c r="O349" s="112">
        <f t="shared" si="11"/>
        <v>-6.1421821324769699E-4</v>
      </c>
    </row>
    <row r="350" spans="1:15">
      <c r="A350" s="105">
        <v>45399</v>
      </c>
      <c r="B350" s="85">
        <v>116</v>
      </c>
      <c r="C350" s="85">
        <v>117.5</v>
      </c>
      <c r="D350" s="85">
        <v>114.5</v>
      </c>
      <c r="E350" s="85">
        <v>115.42</v>
      </c>
      <c r="F350" s="85">
        <v>3631693</v>
      </c>
      <c r="G350" s="112">
        <f t="shared" si="10"/>
        <v>-3.3675848372334283E-3</v>
      </c>
      <c r="I350" s="105">
        <v>45399</v>
      </c>
      <c r="J350" s="85">
        <v>70396.649999999994</v>
      </c>
      <c r="K350" s="85">
        <v>70725.490000000005</v>
      </c>
      <c r="L350" s="85">
        <v>70037.279999999999</v>
      </c>
      <c r="M350" s="85">
        <v>70333.31</v>
      </c>
      <c r="N350" s="123">
        <v>221820349</v>
      </c>
      <c r="O350" s="112">
        <f t="shared" si="11"/>
        <v>-2.1331185128582453E-3</v>
      </c>
    </row>
    <row r="351" spans="1:15">
      <c r="A351" s="105">
        <v>45398</v>
      </c>
      <c r="B351" s="85">
        <v>111.3</v>
      </c>
      <c r="C351" s="85">
        <v>118.48</v>
      </c>
      <c r="D351" s="85">
        <v>111</v>
      </c>
      <c r="E351" s="85">
        <v>115.81</v>
      </c>
      <c r="F351" s="85">
        <v>15884192</v>
      </c>
      <c r="G351" s="112">
        <f t="shared" si="10"/>
        <v>4.3709444844989287E-2</v>
      </c>
      <c r="I351" s="105">
        <v>45398</v>
      </c>
      <c r="J351" s="85">
        <v>70661.42</v>
      </c>
      <c r="K351" s="85">
        <v>71092.61</v>
      </c>
      <c r="L351" s="85">
        <v>70405.240000000005</v>
      </c>
      <c r="M351" s="85">
        <v>70483.66</v>
      </c>
      <c r="N351" s="123">
        <v>219859414</v>
      </c>
      <c r="O351" s="112">
        <f t="shared" si="11"/>
        <v>-8.6356740659587761E-4</v>
      </c>
    </row>
    <row r="352" spans="1:15">
      <c r="A352" s="105">
        <v>45397</v>
      </c>
      <c r="B352" s="85">
        <v>111.48</v>
      </c>
      <c r="C352" s="85">
        <v>111.5</v>
      </c>
      <c r="D352" s="85">
        <v>108.99</v>
      </c>
      <c r="E352" s="85">
        <v>110.96</v>
      </c>
      <c r="F352" s="85">
        <v>1519132</v>
      </c>
      <c r="G352" s="112">
        <f t="shared" si="10"/>
        <v>1.194710442316449E-2</v>
      </c>
      <c r="I352" s="105">
        <v>45397</v>
      </c>
      <c r="J352" s="85">
        <v>70218.509999999995</v>
      </c>
      <c r="K352" s="85">
        <v>70608.88</v>
      </c>
      <c r="L352" s="85">
        <v>69914.100000000006</v>
      </c>
      <c r="M352" s="85">
        <v>70544.58</v>
      </c>
      <c r="N352" s="123">
        <v>255765007</v>
      </c>
      <c r="O352" s="112">
        <f t="shared" si="11"/>
        <v>3.2691594689076009E-3</v>
      </c>
    </row>
    <row r="353" spans="1:15">
      <c r="A353" s="105">
        <v>45391</v>
      </c>
      <c r="B353" s="85">
        <v>111.79</v>
      </c>
      <c r="C353" s="85">
        <v>112.84</v>
      </c>
      <c r="D353" s="85">
        <v>108.75</v>
      </c>
      <c r="E353" s="85">
        <v>109.65</v>
      </c>
      <c r="F353" s="85">
        <v>4306345</v>
      </c>
      <c r="G353" s="112">
        <f t="shared" si="10"/>
        <v>-5.8930190389845372E-3</v>
      </c>
      <c r="I353" s="105">
        <v>45391</v>
      </c>
      <c r="J353" s="85">
        <v>69857.149999999994</v>
      </c>
      <c r="K353" s="85">
        <v>70677.289999999994</v>
      </c>
      <c r="L353" s="85">
        <v>69857.14</v>
      </c>
      <c r="M353" s="85">
        <v>70314.710000000006</v>
      </c>
      <c r="N353" s="123">
        <v>219290682</v>
      </c>
      <c r="O353" s="112">
        <f t="shared" si="11"/>
        <v>9.9788882444380445E-3</v>
      </c>
    </row>
    <row r="354" spans="1:15">
      <c r="A354" s="105">
        <v>45390</v>
      </c>
      <c r="B354" s="85">
        <v>108.99</v>
      </c>
      <c r="C354" s="85">
        <v>110.7</v>
      </c>
      <c r="D354" s="85">
        <v>107.95</v>
      </c>
      <c r="E354" s="85">
        <v>110.3</v>
      </c>
      <c r="F354" s="85">
        <v>1508661</v>
      </c>
      <c r="G354" s="112">
        <f t="shared" si="10"/>
        <v>1.3321084060633925E-2</v>
      </c>
      <c r="I354" s="105">
        <v>45390</v>
      </c>
      <c r="J354" s="85">
        <v>68716.639999999999</v>
      </c>
      <c r="K354" s="85">
        <v>69720.03</v>
      </c>
      <c r="L354" s="85">
        <v>68710.490000000005</v>
      </c>
      <c r="M354" s="85">
        <v>69619.98</v>
      </c>
      <c r="N354" s="123">
        <v>188866316</v>
      </c>
      <c r="O354" s="112">
        <f t="shared" si="11"/>
        <v>1.7586328967835074E-2</v>
      </c>
    </row>
    <row r="355" spans="1:15">
      <c r="A355" s="105">
        <v>45386</v>
      </c>
      <c r="B355" s="85">
        <v>106.69</v>
      </c>
      <c r="C355" s="85">
        <v>109.9</v>
      </c>
      <c r="D355" s="85">
        <v>106</v>
      </c>
      <c r="E355" s="85">
        <v>108.85</v>
      </c>
      <c r="F355" s="85">
        <v>1760545</v>
      </c>
      <c r="G355" s="112">
        <f t="shared" si="10"/>
        <v>2.2353714661407009E-2</v>
      </c>
      <c r="I355" s="105">
        <v>45386</v>
      </c>
      <c r="J355" s="85">
        <v>68210.16</v>
      </c>
      <c r="K355" s="85">
        <v>68439.37</v>
      </c>
      <c r="L355" s="85">
        <v>67912.350000000006</v>
      </c>
      <c r="M355" s="85">
        <v>68416.78</v>
      </c>
      <c r="N355" s="123">
        <v>201068800</v>
      </c>
      <c r="O355" s="112">
        <f t="shared" si="11"/>
        <v>9.751899572628453E-3</v>
      </c>
    </row>
    <row r="356" spans="1:15">
      <c r="A356" s="105">
        <v>45385</v>
      </c>
      <c r="B356" s="85">
        <v>105</v>
      </c>
      <c r="C356" s="85">
        <v>106.7</v>
      </c>
      <c r="D356" s="85">
        <v>104.6</v>
      </c>
      <c r="E356" s="85">
        <v>106.47</v>
      </c>
      <c r="F356" s="85">
        <v>1048329</v>
      </c>
      <c r="G356" s="112">
        <f t="shared" si="10"/>
        <v>1.7877629063097533E-2</v>
      </c>
      <c r="I356" s="105">
        <v>45385</v>
      </c>
      <c r="J356" s="85">
        <v>66998.210000000006</v>
      </c>
      <c r="K356" s="85">
        <v>67873.210000000006</v>
      </c>
      <c r="L356" s="85">
        <v>66985.009999999995</v>
      </c>
      <c r="M356" s="85">
        <v>67756.03</v>
      </c>
      <c r="N356" s="123">
        <v>140991439</v>
      </c>
      <c r="O356" s="112">
        <f t="shared" si="11"/>
        <v>1.300371705638792E-2</v>
      </c>
    </row>
    <row r="357" spans="1:15">
      <c r="A357" s="105">
        <v>45384</v>
      </c>
      <c r="B357" s="85">
        <v>105.49</v>
      </c>
      <c r="C357" s="85">
        <v>105.49</v>
      </c>
      <c r="D357" s="85">
        <v>104.1</v>
      </c>
      <c r="E357" s="85">
        <v>104.6</v>
      </c>
      <c r="F357" s="85">
        <v>278078</v>
      </c>
      <c r="G357" s="112">
        <f t="shared" si="10"/>
        <v>-3.7146394894751467E-3</v>
      </c>
      <c r="I357" s="105">
        <v>45384</v>
      </c>
      <c r="J357" s="85">
        <v>66793.38</v>
      </c>
      <c r="K357" s="85">
        <v>66959.539999999994</v>
      </c>
      <c r="L357" s="85">
        <v>66573.63</v>
      </c>
      <c r="M357" s="85">
        <v>66886.259999999995</v>
      </c>
      <c r="N357" s="123">
        <v>94865141</v>
      </c>
      <c r="O357" s="112">
        <f t="shared" si="11"/>
        <v>1.346481363045049E-3</v>
      </c>
    </row>
    <row r="358" spans="1:15">
      <c r="A358" s="105">
        <v>45383</v>
      </c>
      <c r="B358" s="85">
        <v>104.95</v>
      </c>
      <c r="C358" s="85">
        <v>105.9</v>
      </c>
      <c r="D358" s="85">
        <v>104.65</v>
      </c>
      <c r="E358" s="85">
        <v>104.99</v>
      </c>
      <c r="F358" s="85">
        <v>358080</v>
      </c>
      <c r="G358" s="112">
        <f t="shared" si="10"/>
        <v>5.4587243823021048E-3</v>
      </c>
      <c r="I358" s="105">
        <v>45383</v>
      </c>
      <c r="J358" s="85">
        <v>67168.02</v>
      </c>
      <c r="K358" s="85">
        <v>67304.36</v>
      </c>
      <c r="L358" s="85">
        <v>66740.91</v>
      </c>
      <c r="M358" s="85">
        <v>66796.320000000007</v>
      </c>
      <c r="N358" s="123">
        <v>79759436</v>
      </c>
      <c r="O358" s="112">
        <f t="shared" si="11"/>
        <v>-3.115882223890365E-3</v>
      </c>
    </row>
    <row r="359" spans="1:15">
      <c r="A359" s="105">
        <v>45380</v>
      </c>
      <c r="B359" s="85">
        <v>105.95</v>
      </c>
      <c r="C359" s="85">
        <v>106.45</v>
      </c>
      <c r="D359" s="85">
        <v>104.25</v>
      </c>
      <c r="E359" s="85">
        <v>104.42</v>
      </c>
      <c r="F359" s="85">
        <v>671014</v>
      </c>
      <c r="G359" s="112">
        <f t="shared" si="10"/>
        <v>-1.1642214860388078E-2</v>
      </c>
      <c r="I359" s="105">
        <v>45380</v>
      </c>
      <c r="J359" s="85">
        <v>67232.2</v>
      </c>
      <c r="K359" s="85">
        <v>67307.63</v>
      </c>
      <c r="L359" s="85">
        <v>66822.42</v>
      </c>
      <c r="M359" s="85">
        <v>67005.100000000006</v>
      </c>
      <c r="N359" s="123">
        <v>142211477</v>
      </c>
      <c r="O359" s="112">
        <f t="shared" si="11"/>
        <v>-2.0407458090389019E-3</v>
      </c>
    </row>
    <row r="360" spans="1:15">
      <c r="A360" s="105">
        <v>45379</v>
      </c>
      <c r="B360" s="85">
        <v>104.5</v>
      </c>
      <c r="C360" s="85">
        <v>105.75</v>
      </c>
      <c r="D360" s="85">
        <v>104.11</v>
      </c>
      <c r="E360" s="85">
        <v>105.65</v>
      </c>
      <c r="F360" s="85">
        <v>432652</v>
      </c>
      <c r="G360" s="112">
        <f t="shared" si="10"/>
        <v>1.1391920352288087E-2</v>
      </c>
      <c r="I360" s="105">
        <v>45379</v>
      </c>
      <c r="J360" s="85">
        <v>66690.94</v>
      </c>
      <c r="K360" s="85">
        <v>67246.02</v>
      </c>
      <c r="L360" s="85">
        <v>66690.94</v>
      </c>
      <c r="M360" s="85">
        <v>67142.12</v>
      </c>
      <c r="N360" s="123">
        <v>231313539</v>
      </c>
      <c r="O360" s="112">
        <f t="shared" si="11"/>
        <v>8.9310266999138577E-3</v>
      </c>
    </row>
    <row r="361" spans="1:15">
      <c r="A361" s="105">
        <v>45378</v>
      </c>
      <c r="B361" s="85">
        <v>104</v>
      </c>
      <c r="C361" s="85">
        <v>106.4</v>
      </c>
      <c r="D361" s="85">
        <v>103.5</v>
      </c>
      <c r="E361" s="85">
        <v>104.46</v>
      </c>
      <c r="F361" s="85">
        <v>1253860</v>
      </c>
      <c r="G361" s="112">
        <f t="shared" si="10"/>
        <v>2.3990020151616331E-3</v>
      </c>
      <c r="I361" s="105">
        <v>45378</v>
      </c>
      <c r="J361" s="85">
        <v>66003.44</v>
      </c>
      <c r="K361" s="85">
        <v>66607.87</v>
      </c>
      <c r="L361" s="85">
        <v>66003.429999999993</v>
      </c>
      <c r="M361" s="85">
        <v>66547.78</v>
      </c>
      <c r="N361" s="123">
        <v>189118251</v>
      </c>
      <c r="O361" s="112">
        <f t="shared" si="11"/>
        <v>9.7336717735656553E-3</v>
      </c>
    </row>
    <row r="362" spans="1:15">
      <c r="A362" s="105">
        <v>45377</v>
      </c>
      <c r="B362" s="85">
        <v>104.49</v>
      </c>
      <c r="C362" s="85">
        <v>105</v>
      </c>
      <c r="D362" s="85">
        <v>103</v>
      </c>
      <c r="E362" s="85">
        <v>104.21</v>
      </c>
      <c r="F362" s="85">
        <v>898188</v>
      </c>
      <c r="G362" s="112">
        <f t="shared" si="10"/>
        <v>7.682704311917643E-4</v>
      </c>
      <c r="I362" s="105">
        <v>45377</v>
      </c>
      <c r="J362" s="85">
        <v>65629.759999999995</v>
      </c>
      <c r="K362" s="85">
        <v>65989.539999999994</v>
      </c>
      <c r="L362" s="85">
        <v>65492.7</v>
      </c>
      <c r="M362" s="85">
        <v>65906.27</v>
      </c>
      <c r="N362" s="123">
        <v>137146538</v>
      </c>
      <c r="O362" s="112">
        <f t="shared" si="11"/>
        <v>5.8088711533379467E-3</v>
      </c>
    </row>
    <row r="363" spans="1:15">
      <c r="A363" s="105">
        <v>45376</v>
      </c>
      <c r="B363" s="85">
        <v>105</v>
      </c>
      <c r="C363" s="85">
        <v>105.75</v>
      </c>
      <c r="D363" s="85">
        <v>103</v>
      </c>
      <c r="E363" s="85">
        <v>104.13</v>
      </c>
      <c r="F363" s="85">
        <v>925714</v>
      </c>
      <c r="G363" s="112">
        <f t="shared" si="10"/>
        <v>-8.1912563101247393E-3</v>
      </c>
      <c r="I363" s="105">
        <v>45376</v>
      </c>
      <c r="J363" s="85">
        <v>65412.92</v>
      </c>
      <c r="K363" s="85">
        <v>65656.490000000005</v>
      </c>
      <c r="L363" s="85">
        <v>65301.73</v>
      </c>
      <c r="M363" s="85">
        <v>65525.64</v>
      </c>
      <c r="N363" s="123">
        <v>129401692</v>
      </c>
      <c r="O363" s="112">
        <f t="shared" si="11"/>
        <v>5.7376754785976036E-3</v>
      </c>
    </row>
    <row r="364" spans="1:15">
      <c r="A364" s="105">
        <v>45373</v>
      </c>
      <c r="B364" s="85">
        <v>107</v>
      </c>
      <c r="C364" s="85">
        <v>107</v>
      </c>
      <c r="D364" s="85">
        <v>104.51</v>
      </c>
      <c r="E364" s="85">
        <v>104.99</v>
      </c>
      <c r="F364" s="85">
        <v>1356805</v>
      </c>
      <c r="G364" s="112">
        <f t="shared" si="10"/>
        <v>-1.8785046728971966E-2</v>
      </c>
      <c r="I364" s="105">
        <v>45373</v>
      </c>
      <c r="J364" s="85">
        <v>65510.16</v>
      </c>
      <c r="K364" s="85">
        <v>65534.02</v>
      </c>
      <c r="L364" s="85">
        <v>65056.65</v>
      </c>
      <c r="M364" s="85">
        <v>65151.82</v>
      </c>
      <c r="N364" s="123">
        <v>83027726</v>
      </c>
      <c r="O364" s="112">
        <f t="shared" si="11"/>
        <v>-4.0597761451846015E-3</v>
      </c>
    </row>
    <row r="365" spans="1:15">
      <c r="A365" s="105">
        <v>45372</v>
      </c>
      <c r="B365" s="85">
        <v>108.74</v>
      </c>
      <c r="C365" s="85">
        <v>108.8</v>
      </c>
      <c r="D365" s="85">
        <v>106.19</v>
      </c>
      <c r="E365" s="85">
        <v>107</v>
      </c>
      <c r="F365" s="85">
        <v>2215557</v>
      </c>
      <c r="G365" s="112">
        <f t="shared" si="10"/>
        <v>-1.1181961001755836E-2</v>
      </c>
      <c r="I365" s="105">
        <v>45372</v>
      </c>
      <c r="J365" s="85">
        <v>66021.539999999994</v>
      </c>
      <c r="K365" s="85">
        <v>66196.23</v>
      </c>
      <c r="L365" s="85">
        <v>65326.01</v>
      </c>
      <c r="M365" s="85">
        <v>65417.4</v>
      </c>
      <c r="N365" s="123">
        <v>242671674</v>
      </c>
      <c r="O365" s="112">
        <f t="shared" si="11"/>
        <v>-4.7829216274194453E-3</v>
      </c>
    </row>
    <row r="366" spans="1:15">
      <c r="A366" s="105">
        <v>45371</v>
      </c>
      <c r="B366" s="85">
        <v>109</v>
      </c>
      <c r="C366" s="85">
        <v>109.5</v>
      </c>
      <c r="D366" s="85">
        <v>107.49</v>
      </c>
      <c r="E366" s="85">
        <v>108.21</v>
      </c>
      <c r="F366" s="85">
        <v>734100</v>
      </c>
      <c r="G366" s="112">
        <f t="shared" si="10"/>
        <v>-2.7716186252768615E-4</v>
      </c>
      <c r="I366" s="105">
        <v>45371</v>
      </c>
      <c r="J366" s="85">
        <v>65727.73</v>
      </c>
      <c r="K366" s="85">
        <v>65968.02</v>
      </c>
      <c r="L366" s="85">
        <v>65614.94</v>
      </c>
      <c r="M366" s="85">
        <v>65731.789999999994</v>
      </c>
      <c r="N366" s="123">
        <v>170678391</v>
      </c>
      <c r="O366" s="112">
        <f t="shared" si="11"/>
        <v>3.499098279930557E-3</v>
      </c>
    </row>
    <row r="367" spans="1:15">
      <c r="A367" s="105">
        <v>45370</v>
      </c>
      <c r="B367" s="85">
        <v>108.5</v>
      </c>
      <c r="C367" s="85">
        <v>110.45</v>
      </c>
      <c r="D367" s="85">
        <v>108.11</v>
      </c>
      <c r="E367" s="85">
        <v>108.24</v>
      </c>
      <c r="F367" s="85">
        <v>1222965</v>
      </c>
      <c r="G367" s="112">
        <f t="shared" si="10"/>
        <v>-3.3149171270717703E-3</v>
      </c>
      <c r="I367" s="105">
        <v>45370</v>
      </c>
      <c r="J367" s="85">
        <v>64955.94</v>
      </c>
      <c r="K367" s="85">
        <v>65624.72</v>
      </c>
      <c r="L367" s="85">
        <v>64940.17</v>
      </c>
      <c r="M367" s="85">
        <v>65502.59</v>
      </c>
      <c r="N367" s="123">
        <v>162243933</v>
      </c>
      <c r="O367" s="112">
        <f t="shared" si="11"/>
        <v>9.4326596343070612E-3</v>
      </c>
    </row>
    <row r="368" spans="1:15">
      <c r="A368" s="105">
        <v>45369</v>
      </c>
      <c r="B368" s="85">
        <v>109.5</v>
      </c>
      <c r="C368" s="85">
        <v>109.5</v>
      </c>
      <c r="D368" s="85">
        <v>108</v>
      </c>
      <c r="E368" s="85">
        <v>108.6</v>
      </c>
      <c r="F368" s="85">
        <v>555706</v>
      </c>
      <c r="G368" s="112">
        <f t="shared" si="10"/>
        <v>-4.3929923408750904E-2</v>
      </c>
      <c r="I368" s="105">
        <v>45369</v>
      </c>
      <c r="J368" s="85">
        <v>64987.15</v>
      </c>
      <c r="K368" s="85">
        <v>65148.36</v>
      </c>
      <c r="L368" s="85">
        <v>64811.92</v>
      </c>
      <c r="M368" s="85">
        <v>64890.5</v>
      </c>
      <c r="N368" s="123">
        <v>91771609</v>
      </c>
      <c r="O368" s="112">
        <f t="shared" si="11"/>
        <v>1.1423024336718601E-3</v>
      </c>
    </row>
    <row r="369" spans="1:15">
      <c r="A369" s="105">
        <v>45366</v>
      </c>
      <c r="B369" s="85">
        <v>113.2</v>
      </c>
      <c r="C369" s="85">
        <v>114.49</v>
      </c>
      <c r="D369" s="85">
        <v>113.2</v>
      </c>
      <c r="E369" s="85">
        <v>113.59</v>
      </c>
      <c r="F369" s="85">
        <v>651359</v>
      </c>
      <c r="G369" s="112">
        <f t="shared" si="10"/>
        <v>-5.2793664760231174E-4</v>
      </c>
      <c r="I369" s="105">
        <v>45366</v>
      </c>
      <c r="J369" s="85">
        <v>65309.79</v>
      </c>
      <c r="K369" s="85">
        <v>65353.66</v>
      </c>
      <c r="L369" s="85">
        <v>64759.6</v>
      </c>
      <c r="M369" s="85">
        <v>64816.46</v>
      </c>
      <c r="N369" s="123">
        <v>99404749</v>
      </c>
      <c r="O369" s="112">
        <f t="shared" si="11"/>
        <v>-3.8085425085907509E-3</v>
      </c>
    </row>
    <row r="370" spans="1:15">
      <c r="A370" s="105">
        <v>45365</v>
      </c>
      <c r="B370" s="85">
        <v>112.99</v>
      </c>
      <c r="C370" s="85">
        <v>114</v>
      </c>
      <c r="D370" s="85">
        <v>112.55</v>
      </c>
      <c r="E370" s="85">
        <v>113.65</v>
      </c>
      <c r="F370" s="85">
        <v>1131221</v>
      </c>
      <c r="G370" s="112">
        <f t="shared" si="10"/>
        <v>7.6247894316872067E-3</v>
      </c>
      <c r="I370" s="105">
        <v>45365</v>
      </c>
      <c r="J370" s="85">
        <v>64079.97</v>
      </c>
      <c r="K370" s="85">
        <v>65205.81</v>
      </c>
      <c r="L370" s="85">
        <v>64079.97</v>
      </c>
      <c r="M370" s="85">
        <v>65064.26</v>
      </c>
      <c r="N370" s="123">
        <v>136554522</v>
      </c>
      <c r="O370" s="112">
        <f t="shared" si="11"/>
        <v>1.5860183323746835E-2</v>
      </c>
    </row>
    <row r="371" spans="1:15">
      <c r="A371" s="105">
        <v>45364</v>
      </c>
      <c r="B371" s="85">
        <v>113.68</v>
      </c>
      <c r="C371" s="85">
        <v>114</v>
      </c>
      <c r="D371" s="85">
        <v>112.06</v>
      </c>
      <c r="E371" s="85">
        <v>112.79</v>
      </c>
      <c r="F371" s="85">
        <v>471491</v>
      </c>
      <c r="G371" s="112">
        <f t="shared" si="10"/>
        <v>-7.8289936664320825E-3</v>
      </c>
      <c r="I371" s="105">
        <v>45364</v>
      </c>
      <c r="J371" s="85">
        <v>64859.77</v>
      </c>
      <c r="K371" s="85">
        <v>65043.37</v>
      </c>
      <c r="L371" s="85">
        <v>63856.51</v>
      </c>
      <c r="M371" s="85">
        <v>64048.44</v>
      </c>
      <c r="N371" s="123">
        <v>125290804</v>
      </c>
      <c r="O371" s="112">
        <f t="shared" si="11"/>
        <v>-1.1624077763391916E-2</v>
      </c>
    </row>
    <row r="372" spans="1:15">
      <c r="A372" s="105">
        <v>45363</v>
      </c>
      <c r="B372" s="85">
        <v>114.67</v>
      </c>
      <c r="C372" s="85">
        <v>114.91</v>
      </c>
      <c r="D372" s="85">
        <v>113.26</v>
      </c>
      <c r="E372" s="85">
        <v>113.68</v>
      </c>
      <c r="F372" s="85">
        <v>317710</v>
      </c>
      <c r="G372" s="112">
        <f t="shared" si="10"/>
        <v>-8.633469957268658E-3</v>
      </c>
      <c r="I372" s="105">
        <v>45363</v>
      </c>
      <c r="J372" s="85">
        <v>65815.11</v>
      </c>
      <c r="K372" s="85">
        <v>65859.63</v>
      </c>
      <c r="L372" s="85">
        <v>64664.66</v>
      </c>
      <c r="M372" s="85">
        <v>64801.7</v>
      </c>
      <c r="N372" s="123">
        <v>126990658</v>
      </c>
      <c r="O372" s="112">
        <f t="shared" si="11"/>
        <v>-1.4502253050324598E-2</v>
      </c>
    </row>
    <row r="373" spans="1:15">
      <c r="A373" s="105">
        <v>45362</v>
      </c>
      <c r="B373" s="85">
        <v>114</v>
      </c>
      <c r="C373" s="85">
        <v>116</v>
      </c>
      <c r="D373" s="85">
        <v>114</v>
      </c>
      <c r="E373" s="85">
        <v>114.67</v>
      </c>
      <c r="F373" s="85">
        <v>396401</v>
      </c>
      <c r="G373" s="112">
        <f t="shared" si="10"/>
        <v>1.8347020793290092E-3</v>
      </c>
      <c r="I373" s="105">
        <v>45362</v>
      </c>
      <c r="J373" s="85">
        <v>65948.02</v>
      </c>
      <c r="K373" s="85">
        <v>66119.34</v>
      </c>
      <c r="L373" s="85">
        <v>65698.759999999995</v>
      </c>
      <c r="M373" s="85">
        <v>65755.3</v>
      </c>
      <c r="N373" s="123">
        <v>251628283</v>
      </c>
      <c r="O373" s="112">
        <f t="shared" si="11"/>
        <v>-5.8440201386900092E-4</v>
      </c>
    </row>
    <row r="374" spans="1:15">
      <c r="A374" s="105">
        <v>45359</v>
      </c>
      <c r="B374" s="85">
        <v>115.49</v>
      </c>
      <c r="C374" s="85">
        <v>116</v>
      </c>
      <c r="D374" s="85">
        <v>114.31</v>
      </c>
      <c r="E374" s="85">
        <v>114.46</v>
      </c>
      <c r="F374" s="85">
        <v>491915</v>
      </c>
      <c r="G374" s="112">
        <f t="shared" si="10"/>
        <v>-4.0894457495868064E-3</v>
      </c>
      <c r="I374" s="105">
        <v>45359</v>
      </c>
      <c r="J374" s="85">
        <v>65760.55</v>
      </c>
      <c r="K374" s="85">
        <v>66067.520000000004</v>
      </c>
      <c r="L374" s="85">
        <v>65693.22</v>
      </c>
      <c r="M374" s="85">
        <v>65793.75</v>
      </c>
      <c r="N374" s="123">
        <v>240096517</v>
      </c>
      <c r="O374" s="112">
        <f t="shared" si="11"/>
        <v>2.9064184181595287E-3</v>
      </c>
    </row>
    <row r="375" spans="1:15">
      <c r="A375" s="105">
        <v>45358</v>
      </c>
      <c r="B375" s="85">
        <v>116.19</v>
      </c>
      <c r="C375" s="85">
        <v>116.5</v>
      </c>
      <c r="D375" s="85">
        <v>114.61</v>
      </c>
      <c r="E375" s="85">
        <v>114.93</v>
      </c>
      <c r="F375" s="85">
        <v>677456</v>
      </c>
      <c r="G375" s="112">
        <f t="shared" si="10"/>
        <v>-8.796895213454059E-3</v>
      </c>
      <c r="I375" s="105">
        <v>45358</v>
      </c>
      <c r="J375" s="85">
        <v>65673.8</v>
      </c>
      <c r="K375" s="85">
        <v>65874.149999999994</v>
      </c>
      <c r="L375" s="85">
        <v>65187.68</v>
      </c>
      <c r="M375" s="85">
        <v>65603.08</v>
      </c>
      <c r="N375" s="123">
        <v>158392882</v>
      </c>
      <c r="O375" s="112">
        <f t="shared" si="11"/>
        <v>-8.1545470966970512E-4</v>
      </c>
    </row>
    <row r="376" spans="1:15">
      <c r="A376" s="105">
        <v>45357</v>
      </c>
      <c r="B376" s="85">
        <v>116</v>
      </c>
      <c r="C376" s="85">
        <v>117.95</v>
      </c>
      <c r="D376" s="85">
        <v>115.8</v>
      </c>
      <c r="E376" s="85">
        <v>115.95</v>
      </c>
      <c r="F376" s="85">
        <v>1631771</v>
      </c>
      <c r="G376" s="112">
        <f t="shared" si="10"/>
        <v>2.160760587726962E-3</v>
      </c>
      <c r="I376" s="105">
        <v>45357</v>
      </c>
      <c r="J376" s="85">
        <v>65757.72</v>
      </c>
      <c r="K376" s="85">
        <v>66150.94</v>
      </c>
      <c r="L376" s="85">
        <v>65603.88</v>
      </c>
      <c r="M376" s="85">
        <v>65656.62</v>
      </c>
      <c r="N376" s="123">
        <v>191568333</v>
      </c>
      <c r="O376" s="112">
        <f t="shared" si="11"/>
        <v>-1.0562023818869726E-3</v>
      </c>
    </row>
    <row r="377" spans="1:15">
      <c r="A377" s="105">
        <v>45356</v>
      </c>
      <c r="B377" s="85">
        <v>116</v>
      </c>
      <c r="C377" s="85">
        <v>116.41</v>
      </c>
      <c r="D377" s="85">
        <v>115.05</v>
      </c>
      <c r="E377" s="85">
        <v>115.7</v>
      </c>
      <c r="F377" s="85">
        <v>1626318</v>
      </c>
      <c r="G377" s="112">
        <f t="shared" si="10"/>
        <v>2.4259227170333464E-3</v>
      </c>
      <c r="I377" s="105">
        <v>45356</v>
      </c>
      <c r="J377" s="85">
        <v>66126.7</v>
      </c>
      <c r="K377" s="85">
        <v>66134.84</v>
      </c>
      <c r="L377" s="85">
        <v>65500.06</v>
      </c>
      <c r="M377" s="85">
        <v>65726.039999999994</v>
      </c>
      <c r="N377" s="123">
        <v>185731440</v>
      </c>
      <c r="O377" s="112">
        <f t="shared" si="11"/>
        <v>-3.421897108976224E-3</v>
      </c>
    </row>
    <row r="378" spans="1:15">
      <c r="A378" s="105">
        <v>45355</v>
      </c>
      <c r="B378" s="85">
        <v>117</v>
      </c>
      <c r="C378" s="85">
        <v>117</v>
      </c>
      <c r="D378" s="85">
        <v>114.85</v>
      </c>
      <c r="E378" s="85">
        <v>115.42</v>
      </c>
      <c r="F378" s="85">
        <v>4070863</v>
      </c>
      <c r="G378" s="112">
        <f t="shared" si="10"/>
        <v>-1.4009909448146285E-2</v>
      </c>
      <c r="I378" s="105">
        <v>45355</v>
      </c>
      <c r="J378" s="85">
        <v>65695.03</v>
      </c>
      <c r="K378" s="85">
        <v>66007.429999999993</v>
      </c>
      <c r="L378" s="85">
        <v>65532.58</v>
      </c>
      <c r="M378" s="85">
        <v>65951.72</v>
      </c>
      <c r="N378" s="123">
        <v>211690827</v>
      </c>
      <c r="O378" s="112">
        <f t="shared" si="11"/>
        <v>9.5833675210117431E-3</v>
      </c>
    </row>
    <row r="379" spans="1:15">
      <c r="A379" s="105">
        <v>45352</v>
      </c>
      <c r="B379" s="85">
        <v>116.05</v>
      </c>
      <c r="C379" s="85">
        <v>117.8</v>
      </c>
      <c r="D379" s="85">
        <v>115.85</v>
      </c>
      <c r="E379" s="85">
        <v>117.06</v>
      </c>
      <c r="F379" s="85">
        <v>2452549</v>
      </c>
      <c r="G379" s="112">
        <f t="shared" si="10"/>
        <v>9.3989824954729961E-3</v>
      </c>
      <c r="I379" s="105">
        <v>45352</v>
      </c>
      <c r="J379" s="85">
        <v>64755.31</v>
      </c>
      <c r="K379" s="85">
        <v>65486.45</v>
      </c>
      <c r="L379" s="85">
        <v>64530.2</v>
      </c>
      <c r="M379" s="85">
        <v>65325.68</v>
      </c>
      <c r="N379" s="123">
        <v>136075582</v>
      </c>
      <c r="O379" s="112">
        <f t="shared" si="11"/>
        <v>1.1569791317608491E-2</v>
      </c>
    </row>
    <row r="380" spans="1:15">
      <c r="A380" s="105">
        <v>45351</v>
      </c>
      <c r="B380" s="85">
        <v>115</v>
      </c>
      <c r="C380" s="85">
        <v>116.55</v>
      </c>
      <c r="D380" s="85">
        <v>115</v>
      </c>
      <c r="E380" s="85">
        <v>115.97</v>
      </c>
      <c r="F380" s="85">
        <v>1616054</v>
      </c>
      <c r="G380" s="112">
        <f t="shared" si="10"/>
        <v>1.0191637630662109E-2</v>
      </c>
      <c r="I380" s="105">
        <v>45351</v>
      </c>
      <c r="J380" s="85">
        <v>63827.25</v>
      </c>
      <c r="K380" s="85">
        <v>64801.63</v>
      </c>
      <c r="L380" s="85">
        <v>63827.25</v>
      </c>
      <c r="M380" s="85">
        <v>64578.52</v>
      </c>
      <c r="N380" s="123">
        <v>223519849</v>
      </c>
      <c r="O380" s="112">
        <f t="shared" si="11"/>
        <v>1.3736777794103316E-2</v>
      </c>
    </row>
    <row r="381" spans="1:15">
      <c r="A381" s="105">
        <v>45350</v>
      </c>
      <c r="B381" s="85">
        <v>115</v>
      </c>
      <c r="C381" s="85">
        <v>116.98</v>
      </c>
      <c r="D381" s="85">
        <v>114.06</v>
      </c>
      <c r="E381" s="85">
        <v>114.8</v>
      </c>
      <c r="F381" s="85">
        <v>5010576</v>
      </c>
      <c r="G381" s="112">
        <f t="shared" si="10"/>
        <v>-3.2991838860914058E-3</v>
      </c>
      <c r="I381" s="105">
        <v>45350</v>
      </c>
      <c r="J381" s="85">
        <v>63173.45</v>
      </c>
      <c r="K381" s="85">
        <v>63929.57</v>
      </c>
      <c r="L381" s="85">
        <v>63042.14</v>
      </c>
      <c r="M381" s="85">
        <v>63703.44</v>
      </c>
      <c r="N381" s="123">
        <v>265803085</v>
      </c>
      <c r="O381" s="112">
        <f t="shared" si="11"/>
        <v>7.6614516279813749E-3</v>
      </c>
    </row>
    <row r="382" spans="1:15">
      <c r="A382" s="105">
        <v>45349</v>
      </c>
      <c r="B382" s="85">
        <v>115.5</v>
      </c>
      <c r="C382" s="85">
        <v>116</v>
      </c>
      <c r="D382" s="85">
        <v>114.2</v>
      </c>
      <c r="E382" s="85">
        <v>115.18</v>
      </c>
      <c r="F382" s="85">
        <v>3449850</v>
      </c>
      <c r="G382" s="112">
        <f t="shared" si="10"/>
        <v>3.7472766884532049E-3</v>
      </c>
      <c r="I382" s="105">
        <v>45349</v>
      </c>
      <c r="J382" s="85">
        <v>63450.400000000001</v>
      </c>
      <c r="K382" s="85">
        <v>63622</v>
      </c>
      <c r="L382" s="85">
        <v>63055.64</v>
      </c>
      <c r="M382" s="85">
        <v>63219.09</v>
      </c>
      <c r="N382" s="123">
        <v>231041416</v>
      </c>
      <c r="O382" s="112">
        <f t="shared" si="11"/>
        <v>-1.3717514299214084E-3</v>
      </c>
    </row>
    <row r="383" spans="1:15">
      <c r="A383" s="105">
        <v>45348</v>
      </c>
      <c r="B383" s="85">
        <v>113.77</v>
      </c>
      <c r="C383" s="85">
        <v>116</v>
      </c>
      <c r="D383" s="85">
        <v>113.77</v>
      </c>
      <c r="E383" s="85">
        <v>114.75</v>
      </c>
      <c r="F383" s="85">
        <v>3552299</v>
      </c>
      <c r="G383" s="112">
        <f t="shared" si="10"/>
        <v>8.6138700887756769E-3</v>
      </c>
      <c r="I383" s="105">
        <v>45348</v>
      </c>
      <c r="J383" s="85">
        <v>62915.4</v>
      </c>
      <c r="K383" s="85">
        <v>61732.5</v>
      </c>
      <c r="L383" s="85">
        <v>62915.39</v>
      </c>
      <c r="M383" s="85">
        <v>63305.93</v>
      </c>
      <c r="N383" s="123">
        <v>221452325</v>
      </c>
      <c r="O383" s="112">
        <f t="shared" si="11"/>
        <v>7.8024943083596643E-3</v>
      </c>
    </row>
    <row r="384" spans="1:15">
      <c r="A384" s="105">
        <v>45345</v>
      </c>
      <c r="B384" s="85">
        <v>113.03</v>
      </c>
      <c r="C384" s="85">
        <v>115.01</v>
      </c>
      <c r="D384" s="85">
        <v>112</v>
      </c>
      <c r="E384" s="85">
        <v>113.77</v>
      </c>
      <c r="F384" s="85">
        <v>3344363</v>
      </c>
      <c r="G384" s="112">
        <f t="shared" si="10"/>
        <v>7.2598494909250633E-3</v>
      </c>
      <c r="I384" s="105">
        <v>45345</v>
      </c>
      <c r="J384" s="85">
        <v>61939.01</v>
      </c>
      <c r="K384" s="85">
        <v>62945.36</v>
      </c>
      <c r="L384" s="85">
        <v>61849.67</v>
      </c>
      <c r="M384" s="85">
        <v>62815.81</v>
      </c>
      <c r="N384" s="123">
        <v>196697545</v>
      </c>
      <c r="O384" s="112">
        <f t="shared" si="11"/>
        <v>1.4559954931280927E-2</v>
      </c>
    </row>
    <row r="385" spans="1:15">
      <c r="A385" s="105">
        <v>45344</v>
      </c>
      <c r="B385" s="85">
        <v>112</v>
      </c>
      <c r="C385" s="85">
        <v>113.4</v>
      </c>
      <c r="D385" s="85">
        <v>110.05</v>
      </c>
      <c r="E385" s="85">
        <v>112.95</v>
      </c>
      <c r="F385" s="85">
        <v>725835</v>
      </c>
      <c r="G385" s="112">
        <f t="shared" si="10"/>
        <v>1.0828709504206335E-2</v>
      </c>
      <c r="I385" s="105">
        <v>45344</v>
      </c>
      <c r="J385" s="85">
        <v>61741.57</v>
      </c>
      <c r="K385" s="85">
        <v>61952.09</v>
      </c>
      <c r="L385" s="85">
        <v>61460.44</v>
      </c>
      <c r="M385" s="85">
        <v>61914.34</v>
      </c>
      <c r="N385" s="123">
        <v>171779626</v>
      </c>
      <c r="O385" s="112">
        <f t="shared" si="11"/>
        <v>5.7698977325060241E-3</v>
      </c>
    </row>
    <row r="386" spans="1:15">
      <c r="A386" s="105">
        <v>45343</v>
      </c>
      <c r="B386" s="85">
        <v>110.55</v>
      </c>
      <c r="C386" s="85">
        <v>113</v>
      </c>
      <c r="D386" s="85">
        <v>110.55</v>
      </c>
      <c r="E386" s="85">
        <v>111.74</v>
      </c>
      <c r="F386" s="85">
        <v>528231</v>
      </c>
      <c r="G386" s="112">
        <f t="shared" si="10"/>
        <v>1.5818181818181731E-2</v>
      </c>
      <c r="I386" s="105">
        <v>45343</v>
      </c>
      <c r="J386" s="85">
        <v>61237.78</v>
      </c>
      <c r="K386" s="85">
        <v>61620.85</v>
      </c>
      <c r="L386" s="85">
        <v>60906.97</v>
      </c>
      <c r="M386" s="85">
        <v>61559.15</v>
      </c>
      <c r="N386" s="123">
        <v>210578314</v>
      </c>
      <c r="O386" s="112">
        <f t="shared" si="11"/>
        <v>1.8108389355427246E-2</v>
      </c>
    </row>
    <row r="387" spans="1:15">
      <c r="A387" s="105">
        <v>45342</v>
      </c>
      <c r="B387" s="85">
        <v>110</v>
      </c>
      <c r="C387" s="85">
        <v>111.29</v>
      </c>
      <c r="D387" s="85">
        <v>108.91</v>
      </c>
      <c r="E387" s="85">
        <v>110</v>
      </c>
      <c r="F387" s="85">
        <v>347629</v>
      </c>
      <c r="G387" s="112">
        <f t="shared" si="10"/>
        <v>-5.0651230101302902E-3</v>
      </c>
      <c r="I387" s="105">
        <v>45342</v>
      </c>
      <c r="J387" s="85">
        <v>60576.78</v>
      </c>
      <c r="K387" s="85">
        <v>61237.51</v>
      </c>
      <c r="L387" s="85">
        <v>60420.83</v>
      </c>
      <c r="M387" s="85">
        <v>60464.24</v>
      </c>
      <c r="N387" s="123">
        <v>234890909</v>
      </c>
      <c r="O387" s="112">
        <f t="shared" si="11"/>
        <v>7.4429694868038965E-5</v>
      </c>
    </row>
    <row r="388" spans="1:15">
      <c r="A388" s="105">
        <v>45341</v>
      </c>
      <c r="B388" s="85">
        <v>110</v>
      </c>
      <c r="C388" s="85">
        <v>111.48</v>
      </c>
      <c r="D388" s="85">
        <v>108.51</v>
      </c>
      <c r="E388" s="85">
        <v>110.56</v>
      </c>
      <c r="F388" s="85">
        <v>448399</v>
      </c>
      <c r="G388" s="112">
        <f t="shared" ref="G388:G451" si="12">E388/E389-1</f>
        <v>4.5429765582409853E-3</v>
      </c>
      <c r="I388" s="105">
        <v>45341</v>
      </c>
      <c r="J388" s="85">
        <v>59444.46</v>
      </c>
      <c r="K388" s="85">
        <v>60504.480000000003</v>
      </c>
      <c r="L388" s="85">
        <v>59191.85</v>
      </c>
      <c r="M388" s="85">
        <v>60459.74</v>
      </c>
      <c r="N388" s="123">
        <v>126222530</v>
      </c>
      <c r="O388" s="112">
        <f t="shared" ref="O388:O451" si="13">M388/M389-1</f>
        <v>9.8004174171446579E-3</v>
      </c>
    </row>
    <row r="389" spans="1:15">
      <c r="A389" s="105">
        <v>45338</v>
      </c>
      <c r="B389" s="85">
        <v>110.5</v>
      </c>
      <c r="C389" s="85">
        <v>111.39</v>
      </c>
      <c r="D389" s="85">
        <v>108.01</v>
      </c>
      <c r="E389" s="85">
        <v>110.06</v>
      </c>
      <c r="F389" s="85">
        <v>524336</v>
      </c>
      <c r="G389" s="112">
        <f t="shared" si="12"/>
        <v>3.830718715797099E-3</v>
      </c>
      <c r="I389" s="105">
        <v>45338</v>
      </c>
      <c r="J389" s="85">
        <v>60787.3</v>
      </c>
      <c r="K389" s="85">
        <v>31173.3</v>
      </c>
      <c r="L389" s="85">
        <v>59739.46</v>
      </c>
      <c r="M389" s="85">
        <v>59872.959999999999</v>
      </c>
      <c r="N389" s="123">
        <v>163233825</v>
      </c>
      <c r="O389" s="112">
        <f t="shared" si="13"/>
        <v>-1.8798575222406466E-2</v>
      </c>
    </row>
    <row r="390" spans="1:15">
      <c r="A390" s="105">
        <v>45337</v>
      </c>
      <c r="B390" s="85">
        <v>111.11</v>
      </c>
      <c r="C390" s="85">
        <v>112.49</v>
      </c>
      <c r="D390" s="85">
        <v>108.35</v>
      </c>
      <c r="E390" s="85">
        <v>109.64</v>
      </c>
      <c r="F390" s="85">
        <v>939367</v>
      </c>
      <c r="G390" s="112">
        <f t="shared" si="12"/>
        <v>-2.0196604110813254E-2</v>
      </c>
      <c r="I390" s="105">
        <v>45337</v>
      </c>
      <c r="J390" s="85">
        <v>62394.25</v>
      </c>
      <c r="K390" s="85">
        <v>62394.25</v>
      </c>
      <c r="L390" s="85">
        <v>60926.85</v>
      </c>
      <c r="M390" s="85">
        <v>61020.05</v>
      </c>
      <c r="N390" s="123">
        <v>154596924</v>
      </c>
      <c r="O390" s="112">
        <f t="shared" si="13"/>
        <v>-1.8241672598185321E-2</v>
      </c>
    </row>
    <row r="391" spans="1:15">
      <c r="A391" s="105">
        <v>45336</v>
      </c>
      <c r="B391" s="85">
        <v>111</v>
      </c>
      <c r="C391" s="85">
        <v>112.55</v>
      </c>
      <c r="D391" s="85">
        <v>111</v>
      </c>
      <c r="E391" s="85">
        <v>111.9</v>
      </c>
      <c r="F391" s="85">
        <v>961375</v>
      </c>
      <c r="G391" s="112">
        <f t="shared" si="12"/>
        <v>1.7272727272727328E-2</v>
      </c>
      <c r="I391" s="105">
        <v>45336</v>
      </c>
      <c r="J391" s="85">
        <v>61635.62</v>
      </c>
      <c r="K391" s="85">
        <v>62432.25</v>
      </c>
      <c r="L391" s="85">
        <v>61635.61</v>
      </c>
      <c r="M391" s="85">
        <v>62153.84</v>
      </c>
      <c r="N391" s="123">
        <v>179310406</v>
      </c>
      <c r="O391" s="112">
        <f t="shared" si="13"/>
        <v>1.5139092412291832E-2</v>
      </c>
    </row>
    <row r="392" spans="1:15">
      <c r="A392" s="105">
        <v>45335</v>
      </c>
      <c r="B392" s="85">
        <v>107.01</v>
      </c>
      <c r="C392" s="85">
        <v>110.5</v>
      </c>
      <c r="D392" s="85">
        <v>103</v>
      </c>
      <c r="E392" s="85">
        <v>110</v>
      </c>
      <c r="F392" s="85">
        <v>1386292</v>
      </c>
      <c r="G392" s="112">
        <f t="shared" si="12"/>
        <v>1.4572957019000077E-2</v>
      </c>
      <c r="I392" s="105">
        <v>45335</v>
      </c>
      <c r="J392" s="85">
        <v>60536.13</v>
      </c>
      <c r="K392" s="85">
        <v>61654.65</v>
      </c>
      <c r="L392" s="85">
        <v>59613.17</v>
      </c>
      <c r="M392" s="85">
        <v>61226.92</v>
      </c>
      <c r="N392" s="123">
        <v>253487196</v>
      </c>
      <c r="O392" s="112">
        <f t="shared" si="13"/>
        <v>2.6465107603645954E-3</v>
      </c>
    </row>
    <row r="393" spans="1:15">
      <c r="A393" s="105">
        <v>45334</v>
      </c>
      <c r="B393" s="85">
        <v>110</v>
      </c>
      <c r="C393" s="85">
        <v>112.4</v>
      </c>
      <c r="D393" s="85">
        <v>105.35</v>
      </c>
      <c r="E393" s="85">
        <v>108.42</v>
      </c>
      <c r="F393" s="85">
        <v>3683386</v>
      </c>
      <c r="G393" s="112">
        <f t="shared" si="12"/>
        <v>-2.0773121387283267E-2</v>
      </c>
      <c r="I393" s="105">
        <v>45334</v>
      </c>
      <c r="J393" s="85">
        <v>62444.76</v>
      </c>
      <c r="K393" s="85">
        <v>62634.37</v>
      </c>
      <c r="L393" s="85">
        <v>60647.67</v>
      </c>
      <c r="M393" s="85">
        <v>61065.31</v>
      </c>
      <c r="N393" s="123">
        <v>200894460</v>
      </c>
      <c r="O393" s="112">
        <f t="shared" si="13"/>
        <v>-2.9842999478582044E-2</v>
      </c>
    </row>
    <row r="394" spans="1:15">
      <c r="A394" s="105">
        <v>45331</v>
      </c>
      <c r="B394" s="85">
        <v>110.5</v>
      </c>
      <c r="C394" s="85">
        <v>111.9</v>
      </c>
      <c r="D394" s="85">
        <v>106.27</v>
      </c>
      <c r="E394" s="85">
        <v>110.72</v>
      </c>
      <c r="F394" s="85">
        <v>1497628</v>
      </c>
      <c r="G394" s="112">
        <f t="shared" si="12"/>
        <v>-1.9656454754736985E-2</v>
      </c>
      <c r="I394" s="105">
        <v>45331</v>
      </c>
      <c r="J394" s="85">
        <v>63291.62</v>
      </c>
      <c r="K394" s="85">
        <v>63305.7</v>
      </c>
      <c r="L394" s="85">
        <v>61781.760000000002</v>
      </c>
      <c r="M394" s="85">
        <v>62943.74</v>
      </c>
      <c r="N394" s="123">
        <v>151778801</v>
      </c>
      <c r="O394" s="112">
        <f t="shared" si="13"/>
        <v>-1.8709971818039683E-2</v>
      </c>
    </row>
    <row r="395" spans="1:15">
      <c r="A395" s="105">
        <v>45329</v>
      </c>
      <c r="B395" s="85">
        <v>112.89</v>
      </c>
      <c r="C395" s="85">
        <v>114</v>
      </c>
      <c r="D395" s="85">
        <v>112.34</v>
      </c>
      <c r="E395" s="85">
        <v>112.94</v>
      </c>
      <c r="F395" s="85">
        <v>2244630</v>
      </c>
      <c r="G395" s="112">
        <f t="shared" si="12"/>
        <v>5.6990204808549105E-3</v>
      </c>
      <c r="I395" s="105">
        <v>45329</v>
      </c>
      <c r="J395" s="85">
        <v>63955.05</v>
      </c>
      <c r="K395" s="85">
        <v>64196.61</v>
      </c>
      <c r="L395" s="85">
        <v>63927.28</v>
      </c>
      <c r="M395" s="85">
        <v>64143.87</v>
      </c>
      <c r="N395" s="123">
        <v>194741589</v>
      </c>
      <c r="O395" s="112">
        <f t="shared" si="13"/>
        <v>5.4054130307037429E-3</v>
      </c>
    </row>
    <row r="396" spans="1:15">
      <c r="A396" s="105">
        <v>45328</v>
      </c>
      <c r="B396" s="85">
        <v>113.7</v>
      </c>
      <c r="C396" s="85">
        <v>113.7</v>
      </c>
      <c r="D396" s="85">
        <v>111.8</v>
      </c>
      <c r="E396" s="85">
        <v>112.3</v>
      </c>
      <c r="F396" s="85">
        <v>1221222</v>
      </c>
      <c r="G396" s="112">
        <f t="shared" si="12"/>
        <v>3.8437472065790956E-3</v>
      </c>
      <c r="I396" s="105">
        <v>45328</v>
      </c>
      <c r="J396" s="85">
        <v>63178.09</v>
      </c>
      <c r="K396" s="85">
        <v>63885.09</v>
      </c>
      <c r="L396" s="85">
        <v>63176.959999999999</v>
      </c>
      <c r="M396" s="85">
        <v>63799.01</v>
      </c>
      <c r="N396" s="123">
        <v>167998130</v>
      </c>
      <c r="O396" s="112">
        <f t="shared" si="13"/>
        <v>1.2635924277148547E-2</v>
      </c>
    </row>
    <row r="397" spans="1:15">
      <c r="A397" s="105">
        <v>45324</v>
      </c>
      <c r="B397" s="85">
        <v>112</v>
      </c>
      <c r="C397" s="85">
        <v>112.83</v>
      </c>
      <c r="D397" s="85">
        <v>111.5</v>
      </c>
      <c r="E397" s="85">
        <v>111.87</v>
      </c>
      <c r="F397" s="85">
        <v>2207990</v>
      </c>
      <c r="G397" s="112">
        <f t="shared" si="12"/>
        <v>1.3426423200859627E-3</v>
      </c>
      <c r="I397" s="105">
        <v>45324</v>
      </c>
      <c r="J397" s="85">
        <v>62536.1</v>
      </c>
      <c r="K397" s="85">
        <v>63075.3</v>
      </c>
      <c r="L397" s="85">
        <v>62448.72</v>
      </c>
      <c r="M397" s="85">
        <v>63002.91</v>
      </c>
      <c r="N397" s="123">
        <v>133234269</v>
      </c>
      <c r="O397" s="112">
        <f t="shared" si="13"/>
        <v>9.7634810420854645E-3</v>
      </c>
    </row>
    <row r="398" spans="1:15">
      <c r="A398" s="105">
        <v>45323</v>
      </c>
      <c r="B398" s="85">
        <v>111.48</v>
      </c>
      <c r="C398" s="85">
        <v>112.35</v>
      </c>
      <c r="D398" s="85">
        <v>111.2</v>
      </c>
      <c r="E398" s="85">
        <v>111.72</v>
      </c>
      <c r="F398" s="85">
        <v>636327</v>
      </c>
      <c r="G398" s="112">
        <f t="shared" si="12"/>
        <v>4.8569886670264406E-3</v>
      </c>
      <c r="I398" s="105">
        <v>45323</v>
      </c>
      <c r="J398" s="85">
        <v>62054.25</v>
      </c>
      <c r="K398" s="85">
        <v>62480.23</v>
      </c>
      <c r="L398" s="85">
        <v>61764.69</v>
      </c>
      <c r="M398" s="85">
        <v>62393.73</v>
      </c>
      <c r="N398" s="123">
        <v>138794235</v>
      </c>
      <c r="O398" s="112">
        <f t="shared" si="13"/>
        <v>6.6885363762476668E-3</v>
      </c>
    </row>
    <row r="399" spans="1:15">
      <c r="A399" s="105">
        <v>45322</v>
      </c>
      <c r="B399" s="85">
        <v>111.7</v>
      </c>
      <c r="C399" s="85">
        <v>112.4</v>
      </c>
      <c r="D399" s="85">
        <v>110.51</v>
      </c>
      <c r="E399" s="85">
        <v>111.18</v>
      </c>
      <c r="F399" s="85">
        <v>956494</v>
      </c>
      <c r="G399" s="112">
        <f t="shared" si="12"/>
        <v>1.1706438541199127E-3</v>
      </c>
      <c r="I399" s="105">
        <v>45322</v>
      </c>
      <c r="J399" s="85">
        <v>62072.82</v>
      </c>
      <c r="K399" s="85">
        <v>62600.12</v>
      </c>
      <c r="L399" s="85">
        <v>61896</v>
      </c>
      <c r="M399" s="85">
        <v>61979.18</v>
      </c>
      <c r="N399" s="123">
        <v>153557746</v>
      </c>
      <c r="O399" s="112">
        <f t="shared" si="13"/>
        <v>2.2224471691774106E-3</v>
      </c>
    </row>
    <row r="400" spans="1:15">
      <c r="A400" s="105">
        <v>45321</v>
      </c>
      <c r="B400" s="85">
        <v>112.99</v>
      </c>
      <c r="C400" s="85">
        <v>113.98</v>
      </c>
      <c r="D400" s="85">
        <v>110.4</v>
      </c>
      <c r="E400" s="85">
        <v>111.05</v>
      </c>
      <c r="F400" s="85">
        <v>1339104</v>
      </c>
      <c r="G400" s="112">
        <f t="shared" si="12"/>
        <v>-8.7476568776221342E-3</v>
      </c>
      <c r="I400" s="105">
        <v>45321</v>
      </c>
      <c r="J400" s="85">
        <v>62799.23</v>
      </c>
      <c r="K400" s="85">
        <v>63074.5</v>
      </c>
      <c r="L400" s="85">
        <v>61637.62</v>
      </c>
      <c r="M400" s="85">
        <v>61841.74</v>
      </c>
      <c r="N400" s="123">
        <v>233753017</v>
      </c>
      <c r="O400" s="112">
        <f t="shared" si="13"/>
        <v>-1.4846658761022979E-2</v>
      </c>
    </row>
    <row r="401" spans="1:15">
      <c r="A401" s="105">
        <v>45320</v>
      </c>
      <c r="B401" s="85">
        <v>113.9</v>
      </c>
      <c r="C401" s="85">
        <v>113.97</v>
      </c>
      <c r="D401" s="85">
        <v>111.51</v>
      </c>
      <c r="E401" s="85">
        <v>112.03</v>
      </c>
      <c r="F401" s="85">
        <v>3150745</v>
      </c>
      <c r="G401" s="112">
        <f t="shared" si="12"/>
        <v>-1.7280701754386008E-2</v>
      </c>
      <c r="I401" s="105">
        <v>45320</v>
      </c>
      <c r="J401" s="85">
        <v>63792.84</v>
      </c>
      <c r="K401" s="85">
        <v>63792.84</v>
      </c>
      <c r="L401" s="85">
        <v>62717.71</v>
      </c>
      <c r="M401" s="85">
        <v>62773.72</v>
      </c>
      <c r="N401" s="123">
        <v>162231924</v>
      </c>
      <c r="O401" s="112">
        <f t="shared" si="13"/>
        <v>-1.6287261573101119E-2</v>
      </c>
    </row>
    <row r="402" spans="1:15">
      <c r="A402" s="105">
        <v>45317</v>
      </c>
      <c r="B402" s="85">
        <v>116</v>
      </c>
      <c r="C402" s="85">
        <v>116.89</v>
      </c>
      <c r="D402" s="85">
        <v>113.51</v>
      </c>
      <c r="E402" s="85">
        <v>114</v>
      </c>
      <c r="F402" s="85">
        <v>2069564</v>
      </c>
      <c r="G402" s="112">
        <f t="shared" si="12"/>
        <v>-1.5883977900552515E-2</v>
      </c>
      <c r="I402" s="105">
        <v>45317</v>
      </c>
      <c r="J402" s="85">
        <v>64220.91</v>
      </c>
      <c r="K402" s="85">
        <v>64534.29</v>
      </c>
      <c r="L402" s="85">
        <v>63743.4</v>
      </c>
      <c r="M402" s="85">
        <v>63813.06</v>
      </c>
      <c r="N402" s="123">
        <v>212491251</v>
      </c>
      <c r="O402" s="112">
        <f t="shared" si="13"/>
        <v>-7.5420697377834856E-3</v>
      </c>
    </row>
    <row r="403" spans="1:15">
      <c r="A403" s="105">
        <v>45316</v>
      </c>
      <c r="B403" s="85">
        <v>116</v>
      </c>
      <c r="C403" s="85">
        <v>117.01</v>
      </c>
      <c r="D403" s="85">
        <v>115.01</v>
      </c>
      <c r="E403" s="85">
        <v>115.84</v>
      </c>
      <c r="F403" s="85">
        <v>3340148</v>
      </c>
      <c r="G403" s="112">
        <f t="shared" si="12"/>
        <v>9.5048820530552192E-4</v>
      </c>
      <c r="I403" s="105">
        <v>45316</v>
      </c>
      <c r="J403" s="85">
        <v>64918.32</v>
      </c>
      <c r="K403" s="85">
        <v>65213.61</v>
      </c>
      <c r="L403" s="85">
        <v>64180.44</v>
      </c>
      <c r="M403" s="85">
        <v>64298</v>
      </c>
      <c r="N403" s="123">
        <v>290527031</v>
      </c>
      <c r="O403" s="112">
        <f t="shared" si="13"/>
        <v>-8.0902551786472543E-3</v>
      </c>
    </row>
    <row r="404" spans="1:15">
      <c r="A404" s="105">
        <v>45315</v>
      </c>
      <c r="B404" s="85">
        <v>116.95</v>
      </c>
      <c r="C404" s="85">
        <v>116.95</v>
      </c>
      <c r="D404" s="85">
        <v>115.5</v>
      </c>
      <c r="E404" s="85">
        <v>115.73</v>
      </c>
      <c r="F404" s="85">
        <v>744945</v>
      </c>
      <c r="G404" s="112">
        <f t="shared" si="12"/>
        <v>-2.413585035772825E-3</v>
      </c>
      <c r="I404" s="105">
        <v>45315</v>
      </c>
      <c r="J404" s="85">
        <v>64569.49</v>
      </c>
      <c r="K404" s="85">
        <v>65063.08</v>
      </c>
      <c r="L404" s="85">
        <v>64460.94</v>
      </c>
      <c r="M404" s="85">
        <v>64822.43</v>
      </c>
      <c r="N404" s="123">
        <v>278313498</v>
      </c>
      <c r="O404" s="112">
        <f t="shared" si="13"/>
        <v>5.712736885187697E-3</v>
      </c>
    </row>
    <row r="405" spans="1:15">
      <c r="A405" s="105">
        <v>45314</v>
      </c>
      <c r="B405" s="85">
        <v>115.1</v>
      </c>
      <c r="C405" s="85">
        <v>116.6</v>
      </c>
      <c r="D405" s="85">
        <v>115.1</v>
      </c>
      <c r="E405" s="85">
        <v>116.01</v>
      </c>
      <c r="F405" s="85">
        <v>9668921</v>
      </c>
      <c r="G405" s="112">
        <f t="shared" si="12"/>
        <v>8.7826086956521721E-3</v>
      </c>
      <c r="I405" s="105">
        <v>45314</v>
      </c>
      <c r="J405" s="85">
        <v>64121.46</v>
      </c>
      <c r="K405" s="85">
        <v>64658.17</v>
      </c>
      <c r="L405" s="85">
        <v>63549.599999999999</v>
      </c>
      <c r="M405" s="85">
        <v>64454.22</v>
      </c>
      <c r="N405" s="123">
        <v>261112921</v>
      </c>
      <c r="O405" s="112">
        <f t="shared" si="13"/>
        <v>8.0515287832652049E-3</v>
      </c>
    </row>
    <row r="406" spans="1:15">
      <c r="A406" s="105">
        <v>45313</v>
      </c>
      <c r="B406" s="85">
        <v>114.64</v>
      </c>
      <c r="C406" s="85">
        <v>115.48</v>
      </c>
      <c r="D406" s="85">
        <v>113.1</v>
      </c>
      <c r="E406" s="85">
        <v>115</v>
      </c>
      <c r="F406" s="85">
        <v>563759</v>
      </c>
      <c r="G406" s="112">
        <f t="shared" si="12"/>
        <v>3.2277763238244273E-3</v>
      </c>
      <c r="I406" s="105">
        <v>45313</v>
      </c>
      <c r="J406" s="85">
        <v>63354.43</v>
      </c>
      <c r="K406" s="85">
        <v>64090.879999999997</v>
      </c>
      <c r="L406" s="85">
        <v>63139.72</v>
      </c>
      <c r="M406" s="85">
        <v>63939.41</v>
      </c>
      <c r="N406" s="123">
        <v>197283355</v>
      </c>
      <c r="O406" s="112">
        <f t="shared" si="13"/>
        <v>1.0385065504971314E-2</v>
      </c>
    </row>
    <row r="407" spans="1:15">
      <c r="A407" s="105">
        <v>45310</v>
      </c>
      <c r="B407" s="85">
        <v>115.25</v>
      </c>
      <c r="C407" s="85">
        <v>116.5</v>
      </c>
      <c r="D407" s="85">
        <v>114.07</v>
      </c>
      <c r="E407" s="85">
        <v>114.63</v>
      </c>
      <c r="F407" s="85">
        <v>358815</v>
      </c>
      <c r="G407" s="112">
        <f t="shared" si="12"/>
        <v>-1.74443959877979E-4</v>
      </c>
      <c r="I407" s="105">
        <v>45310</v>
      </c>
      <c r="J407" s="85">
        <v>63351.07</v>
      </c>
      <c r="K407" s="85">
        <v>63911.85</v>
      </c>
      <c r="L407" s="85">
        <v>63214.86</v>
      </c>
      <c r="M407" s="85">
        <v>63282.22</v>
      </c>
      <c r="N407" s="123">
        <v>145873635</v>
      </c>
      <c r="O407" s="112">
        <f t="shared" si="13"/>
        <v>1.2629267243016162E-3</v>
      </c>
    </row>
    <row r="408" spans="1:15">
      <c r="A408" s="105">
        <v>45309</v>
      </c>
      <c r="B408" s="85">
        <v>115</v>
      </c>
      <c r="C408" s="85">
        <v>115.85</v>
      </c>
      <c r="D408" s="85">
        <v>112.66</v>
      </c>
      <c r="E408" s="85">
        <v>114.65</v>
      </c>
      <c r="F408" s="85">
        <v>872339</v>
      </c>
      <c r="G408" s="112">
        <f t="shared" si="12"/>
        <v>-6.6712874718419801E-3</v>
      </c>
      <c r="I408" s="105">
        <v>45309</v>
      </c>
      <c r="J408" s="85">
        <v>63579.97</v>
      </c>
      <c r="K408" s="85">
        <v>63579.96</v>
      </c>
      <c r="L408" s="85">
        <v>62528.55</v>
      </c>
      <c r="M408" s="85">
        <v>63202.400000000001</v>
      </c>
      <c r="N408" s="123">
        <v>235314800</v>
      </c>
      <c r="O408" s="112">
        <f t="shared" si="13"/>
        <v>-5.7408420331639398E-3</v>
      </c>
    </row>
    <row r="409" spans="1:15">
      <c r="A409" s="105">
        <v>45308</v>
      </c>
      <c r="B409" s="85">
        <v>116.01</v>
      </c>
      <c r="C409" s="85">
        <v>117.2</v>
      </c>
      <c r="D409" s="85">
        <v>114.93</v>
      </c>
      <c r="E409" s="85">
        <v>115.42</v>
      </c>
      <c r="F409" s="85">
        <v>5075262</v>
      </c>
      <c r="G409" s="112">
        <f t="shared" si="12"/>
        <v>-1.0289830217801388E-2</v>
      </c>
      <c r="I409" s="105">
        <v>45308</v>
      </c>
      <c r="J409" s="85">
        <v>63692.22</v>
      </c>
      <c r="K409" s="85">
        <v>64043.86</v>
      </c>
      <c r="L409" s="85">
        <v>63290.18</v>
      </c>
      <c r="M409" s="85">
        <v>63567.33</v>
      </c>
      <c r="N409" s="123">
        <v>249257124</v>
      </c>
      <c r="O409" s="112">
        <f t="shared" si="13"/>
        <v>-2.6692309357793098E-3</v>
      </c>
    </row>
    <row r="410" spans="1:15">
      <c r="A410" s="105">
        <v>45307</v>
      </c>
      <c r="B410" s="85">
        <v>117.26</v>
      </c>
      <c r="C410" s="85">
        <v>118</v>
      </c>
      <c r="D410" s="85">
        <v>116.25</v>
      </c>
      <c r="E410" s="85">
        <v>116.62</v>
      </c>
      <c r="F410" s="85">
        <v>1139653</v>
      </c>
      <c r="G410" s="112">
        <f t="shared" si="12"/>
        <v>-9.5966029723990598E-3</v>
      </c>
      <c r="I410" s="105">
        <v>45307</v>
      </c>
      <c r="J410" s="85">
        <v>64246.68</v>
      </c>
      <c r="K410" s="85">
        <v>64246.67</v>
      </c>
      <c r="L410" s="85">
        <v>63397.94</v>
      </c>
      <c r="M410" s="85">
        <v>63737.46</v>
      </c>
      <c r="N410" s="123">
        <v>234389148</v>
      </c>
      <c r="O410" s="112">
        <f t="shared" si="13"/>
        <v>-8.2762597486174538E-3</v>
      </c>
    </row>
    <row r="411" spans="1:15">
      <c r="A411" s="105">
        <v>45306</v>
      </c>
      <c r="B411" s="85">
        <v>119.3</v>
      </c>
      <c r="C411" s="85">
        <v>120.81</v>
      </c>
      <c r="D411" s="85">
        <v>117.27</v>
      </c>
      <c r="E411" s="85">
        <v>117.75</v>
      </c>
      <c r="F411" s="85">
        <v>1911765</v>
      </c>
      <c r="G411" s="112">
        <f t="shared" si="12"/>
        <v>-6.0774879716384289E-3</v>
      </c>
      <c r="I411" s="105">
        <v>45306</v>
      </c>
      <c r="J411" s="85">
        <v>64885.15</v>
      </c>
      <c r="K411" s="85">
        <v>65173.87</v>
      </c>
      <c r="L411" s="85">
        <v>64130.95</v>
      </c>
      <c r="M411" s="85">
        <v>64269.37</v>
      </c>
      <c r="N411" s="123">
        <v>235432382</v>
      </c>
      <c r="O411" s="112">
        <f t="shared" si="13"/>
        <v>-5.6973004734238719E-3</v>
      </c>
    </row>
    <row r="412" spans="1:15">
      <c r="A412" s="105">
        <v>45303</v>
      </c>
      <c r="B412" s="85">
        <v>118</v>
      </c>
      <c r="C412" s="85">
        <v>119</v>
      </c>
      <c r="D412" s="85">
        <v>117.5</v>
      </c>
      <c r="E412" s="85">
        <v>118.47</v>
      </c>
      <c r="F412" s="85">
        <v>1597241</v>
      </c>
      <c r="G412" s="112">
        <f t="shared" si="12"/>
        <v>8.9422585590188675E-3</v>
      </c>
      <c r="I412" s="105">
        <v>45303</v>
      </c>
      <c r="J412" s="85">
        <v>64917.06</v>
      </c>
      <c r="K412" s="85">
        <v>65356.85</v>
      </c>
      <c r="L412" s="85">
        <v>64491.08</v>
      </c>
      <c r="M412" s="85">
        <v>64637.63</v>
      </c>
      <c r="N412" s="123">
        <v>402905820</v>
      </c>
      <c r="O412" s="112">
        <f t="shared" si="13"/>
        <v>3.1059668610211588E-4</v>
      </c>
    </row>
    <row r="413" spans="1:15">
      <c r="A413" s="105">
        <v>45302</v>
      </c>
      <c r="B413" s="85">
        <v>115.25</v>
      </c>
      <c r="C413" s="85">
        <v>117.78</v>
      </c>
      <c r="D413" s="85">
        <v>114.01</v>
      </c>
      <c r="E413" s="85">
        <v>117.42</v>
      </c>
      <c r="F413" s="85">
        <v>1236084</v>
      </c>
      <c r="G413" s="112">
        <f t="shared" si="12"/>
        <v>2.0688456189151605E-2</v>
      </c>
      <c r="I413" s="105">
        <v>45302</v>
      </c>
      <c r="J413" s="85">
        <v>64057.49</v>
      </c>
      <c r="K413" s="85">
        <v>64700.97</v>
      </c>
      <c r="L413" s="85">
        <v>63914.94</v>
      </c>
      <c r="M413" s="85">
        <v>64617.56</v>
      </c>
      <c r="N413" s="123">
        <v>365090974</v>
      </c>
      <c r="O413" s="112">
        <f t="shared" si="13"/>
        <v>1.0915546722269687E-2</v>
      </c>
    </row>
    <row r="414" spans="1:15">
      <c r="A414" s="105">
        <v>45301</v>
      </c>
      <c r="B414" s="85">
        <v>117</v>
      </c>
      <c r="C414" s="85">
        <v>117</v>
      </c>
      <c r="D414" s="85">
        <v>114.9</v>
      </c>
      <c r="E414" s="85">
        <v>115.04</v>
      </c>
      <c r="F414" s="85">
        <v>447283</v>
      </c>
      <c r="G414" s="112">
        <f t="shared" si="12"/>
        <v>-4.6720885966429204E-3</v>
      </c>
      <c r="I414" s="105">
        <v>45301</v>
      </c>
      <c r="J414" s="85">
        <v>64234.83</v>
      </c>
      <c r="K414" s="85">
        <v>64550.94</v>
      </c>
      <c r="L414" s="85">
        <v>63873.63</v>
      </c>
      <c r="M414" s="85">
        <v>63919.839999999997</v>
      </c>
      <c r="N414" s="123">
        <v>336520914</v>
      </c>
      <c r="O414" s="112">
        <f t="shared" si="13"/>
        <v>-3.9072428373319035E-3</v>
      </c>
    </row>
    <row r="415" spans="1:15">
      <c r="A415" s="105">
        <v>45300</v>
      </c>
      <c r="B415" s="85">
        <v>116.99</v>
      </c>
      <c r="C415" s="85">
        <v>117.44</v>
      </c>
      <c r="D415" s="85">
        <v>115.27</v>
      </c>
      <c r="E415" s="85">
        <v>115.58</v>
      </c>
      <c r="F415" s="85">
        <v>390894</v>
      </c>
      <c r="G415" s="112">
        <f t="shared" si="12"/>
        <v>-6.7033344792024607E-3</v>
      </c>
      <c r="I415" s="105">
        <v>45300</v>
      </c>
      <c r="J415" s="85">
        <v>64536.58</v>
      </c>
      <c r="K415" s="85">
        <v>64786.35</v>
      </c>
      <c r="L415" s="85">
        <v>63878.21</v>
      </c>
      <c r="M415" s="85">
        <v>64170.57</v>
      </c>
      <c r="N415" s="123">
        <v>253614365</v>
      </c>
      <c r="O415" s="112">
        <f t="shared" si="13"/>
        <v>-1.0344502282327861E-3</v>
      </c>
    </row>
    <row r="416" spans="1:15">
      <c r="A416" s="105">
        <v>45299</v>
      </c>
      <c r="B416" s="85">
        <v>117.25</v>
      </c>
      <c r="C416" s="85">
        <v>118</v>
      </c>
      <c r="D416" s="85">
        <v>116.01</v>
      </c>
      <c r="E416" s="85">
        <v>116.36</v>
      </c>
      <c r="F416" s="85">
        <v>573038</v>
      </c>
      <c r="G416" s="112">
        <f t="shared" si="12"/>
        <v>-8.9430201856740554E-3</v>
      </c>
      <c r="I416" s="105">
        <v>45299</v>
      </c>
      <c r="J416" s="85">
        <v>64684.23</v>
      </c>
      <c r="K416" s="85">
        <v>65069.43</v>
      </c>
      <c r="L416" s="85">
        <v>64183.519999999997</v>
      </c>
      <c r="M416" s="85">
        <v>64237.02</v>
      </c>
      <c r="N416" s="123">
        <v>314518273</v>
      </c>
      <c r="O416" s="112">
        <f t="shared" si="13"/>
        <v>-4.3070677172355465E-3</v>
      </c>
    </row>
    <row r="417" spans="1:15">
      <c r="A417" s="105">
        <v>45296</v>
      </c>
      <c r="B417" s="85">
        <v>117.45</v>
      </c>
      <c r="C417" s="85">
        <v>117.99</v>
      </c>
      <c r="D417" s="85">
        <v>115.2</v>
      </c>
      <c r="E417" s="85">
        <v>117.41</v>
      </c>
      <c r="F417" s="85">
        <v>1060265</v>
      </c>
      <c r="G417" s="112">
        <f t="shared" si="12"/>
        <v>7.811158798283202E-3</v>
      </c>
      <c r="I417" s="105">
        <v>45296</v>
      </c>
      <c r="J417" s="85">
        <v>64738.85</v>
      </c>
      <c r="K417" s="85">
        <v>65077.47</v>
      </c>
      <c r="L417" s="85">
        <v>63757.95</v>
      </c>
      <c r="M417" s="85">
        <v>64514.89</v>
      </c>
      <c r="N417" s="123">
        <v>718032345</v>
      </c>
      <c r="O417" s="112">
        <f t="shared" si="13"/>
        <v>-1.9223643875267982E-3</v>
      </c>
    </row>
    <row r="418" spans="1:15">
      <c r="A418" s="105">
        <v>45295</v>
      </c>
      <c r="B418" s="85">
        <v>117.1</v>
      </c>
      <c r="C418" s="85">
        <v>117.75</v>
      </c>
      <c r="D418" s="85">
        <v>116.1</v>
      </c>
      <c r="E418" s="85">
        <v>116.5</v>
      </c>
      <c r="F418" s="85">
        <v>1132175</v>
      </c>
      <c r="G418" s="112">
        <f t="shared" si="12"/>
        <v>-1.0111309372079158E-2</v>
      </c>
      <c r="I418" s="105">
        <v>45295</v>
      </c>
      <c r="J418" s="85">
        <v>64815.34</v>
      </c>
      <c r="K418" s="85">
        <v>64936.75</v>
      </c>
      <c r="L418" s="85">
        <v>64098.1</v>
      </c>
      <c r="M418" s="85">
        <v>64639.15</v>
      </c>
      <c r="N418" s="123">
        <v>322736254</v>
      </c>
      <c r="O418" s="112">
        <f t="shared" si="13"/>
        <v>-1.1895399682326779E-4</v>
      </c>
    </row>
    <row r="419" spans="1:15">
      <c r="A419" s="105">
        <v>45294</v>
      </c>
      <c r="B419" s="85">
        <v>117.01</v>
      </c>
      <c r="C419" s="85">
        <v>119.21</v>
      </c>
      <c r="D419" s="85">
        <v>116.49</v>
      </c>
      <c r="E419" s="85">
        <v>117.69</v>
      </c>
      <c r="F419" s="85">
        <v>3264531</v>
      </c>
      <c r="G419" s="112">
        <f t="shared" si="12"/>
        <v>9.9545181498326141E-3</v>
      </c>
      <c r="I419" s="105">
        <v>45294</v>
      </c>
      <c r="J419" s="85">
        <v>64504.22</v>
      </c>
      <c r="K419" s="85">
        <v>65244.6</v>
      </c>
      <c r="L419" s="85">
        <v>64219.54</v>
      </c>
      <c r="M419" s="85">
        <v>64646.84</v>
      </c>
      <c r="N419" s="123">
        <v>417377628</v>
      </c>
      <c r="O419" s="112">
        <f t="shared" si="13"/>
        <v>4.619142931735265E-3</v>
      </c>
    </row>
    <row r="420" spans="1:15">
      <c r="A420" s="105">
        <v>45293</v>
      </c>
      <c r="B420" s="85">
        <v>116.89</v>
      </c>
      <c r="C420" s="85">
        <v>118.8</v>
      </c>
      <c r="D420" s="85">
        <v>115</v>
      </c>
      <c r="E420" s="85">
        <v>116.53</v>
      </c>
      <c r="F420" s="85">
        <v>4163065</v>
      </c>
      <c r="G420" s="112">
        <f t="shared" si="12"/>
        <v>6.7386609071273806E-3</v>
      </c>
      <c r="I420" s="105">
        <v>45293</v>
      </c>
      <c r="J420" s="85">
        <v>65120.39</v>
      </c>
      <c r="K420" s="85">
        <v>65333.69</v>
      </c>
      <c r="L420" s="85">
        <v>64213.62</v>
      </c>
      <c r="M420" s="85">
        <v>64349.599999999999</v>
      </c>
      <c r="N420" s="123">
        <v>424015769</v>
      </c>
      <c r="O420" s="112">
        <f t="shared" si="13"/>
        <v>-4.8278906024548096E-3</v>
      </c>
    </row>
    <row r="421" spans="1:15">
      <c r="A421" s="105">
        <v>45292</v>
      </c>
      <c r="B421" s="85">
        <v>110.83</v>
      </c>
      <c r="C421" s="85">
        <v>116.5</v>
      </c>
      <c r="D421" s="85">
        <v>110.83</v>
      </c>
      <c r="E421" s="85">
        <v>115.75</v>
      </c>
      <c r="F421" s="85">
        <v>2877447</v>
      </c>
      <c r="G421" s="112">
        <f t="shared" si="12"/>
        <v>4.4298087333092706E-2</v>
      </c>
      <c r="I421" s="105">
        <v>45292</v>
      </c>
      <c r="J421" s="85">
        <v>62696.99</v>
      </c>
      <c r="K421" s="85">
        <v>64718.879999999997</v>
      </c>
      <c r="L421" s="85">
        <v>62672.959999999999</v>
      </c>
      <c r="M421" s="85">
        <v>64661.78</v>
      </c>
      <c r="N421" s="123">
        <v>339925632</v>
      </c>
      <c r="O421" s="112">
        <f t="shared" si="13"/>
        <v>3.5399570607631103E-2</v>
      </c>
    </row>
    <row r="422" spans="1:15">
      <c r="A422" s="105">
        <v>45289</v>
      </c>
      <c r="B422" s="85">
        <v>111.01</v>
      </c>
      <c r="C422" s="85">
        <v>112</v>
      </c>
      <c r="D422" s="85">
        <v>109.55</v>
      </c>
      <c r="E422" s="85">
        <v>110.84</v>
      </c>
      <c r="F422" s="85">
        <v>1490758</v>
      </c>
      <c r="G422" s="112">
        <f t="shared" si="12"/>
        <v>-2.8787333573226936E-3</v>
      </c>
      <c r="I422" s="105">
        <v>45289</v>
      </c>
      <c r="J422" s="85">
        <v>62225.33</v>
      </c>
      <c r="K422" s="85">
        <v>62644.38</v>
      </c>
      <c r="L422" s="85">
        <v>61807.54</v>
      </c>
      <c r="M422" s="85">
        <v>62451.040000000001</v>
      </c>
      <c r="N422" s="123">
        <v>362722668</v>
      </c>
      <c r="O422" s="112">
        <f t="shared" si="13"/>
        <v>6.4270051213308754E-3</v>
      </c>
    </row>
    <row r="423" spans="1:15">
      <c r="A423" s="105">
        <v>45288</v>
      </c>
      <c r="B423" s="85">
        <v>111.26</v>
      </c>
      <c r="C423" s="85">
        <v>113.49</v>
      </c>
      <c r="D423" s="85">
        <v>110.2</v>
      </c>
      <c r="E423" s="85">
        <v>111.16</v>
      </c>
      <c r="F423" s="85">
        <v>3342584</v>
      </c>
      <c r="G423" s="112">
        <f t="shared" si="12"/>
        <v>1.0269926383713601E-2</v>
      </c>
      <c r="I423" s="105">
        <v>45288</v>
      </c>
      <c r="J423" s="85">
        <v>61130.13</v>
      </c>
      <c r="K423" s="85">
        <v>62750.77</v>
      </c>
      <c r="L423" s="85">
        <v>61092.27</v>
      </c>
      <c r="M423" s="85">
        <v>62052.23</v>
      </c>
      <c r="N423" s="123">
        <v>378619990</v>
      </c>
      <c r="O423" s="112">
        <f t="shared" si="13"/>
        <v>1.952907171804763E-2</v>
      </c>
    </row>
    <row r="424" spans="1:15">
      <c r="A424" s="105">
        <v>45287</v>
      </c>
      <c r="B424" s="85">
        <v>110.5</v>
      </c>
      <c r="C424" s="85">
        <v>110.94</v>
      </c>
      <c r="D424" s="85">
        <v>107.05</v>
      </c>
      <c r="E424" s="85">
        <v>110.03</v>
      </c>
      <c r="F424" s="85">
        <v>2964157</v>
      </c>
      <c r="G424" s="112">
        <f t="shared" si="12"/>
        <v>1.87962962962962E-2</v>
      </c>
      <c r="I424" s="105">
        <v>45287</v>
      </c>
      <c r="J424" s="85">
        <v>59097.62</v>
      </c>
      <c r="K424" s="85">
        <v>61009.87</v>
      </c>
      <c r="L424" s="85">
        <v>58758.48</v>
      </c>
      <c r="M424" s="85">
        <v>60863.62</v>
      </c>
      <c r="N424" s="123">
        <v>394318118</v>
      </c>
      <c r="O424" s="112">
        <f t="shared" si="13"/>
        <v>2.8606088424779852E-2</v>
      </c>
    </row>
    <row r="425" spans="1:15">
      <c r="A425" s="105">
        <v>45286</v>
      </c>
      <c r="B425" s="85">
        <v>116</v>
      </c>
      <c r="C425" s="85">
        <v>118.8</v>
      </c>
      <c r="D425" s="85">
        <v>107.25</v>
      </c>
      <c r="E425" s="85">
        <v>108</v>
      </c>
      <c r="F425" s="85">
        <v>5375214</v>
      </c>
      <c r="G425" s="112">
        <f t="shared" si="12"/>
        <v>-6.8564036222509728E-2</v>
      </c>
      <c r="I425" s="105">
        <v>45286</v>
      </c>
      <c r="J425" s="85">
        <v>61606.46</v>
      </c>
      <c r="K425" s="85">
        <v>61634.55</v>
      </c>
      <c r="L425" s="85">
        <v>59026.81</v>
      </c>
      <c r="M425" s="85">
        <v>59170.97</v>
      </c>
      <c r="N425" s="123">
        <v>396481194</v>
      </c>
      <c r="O425" s="112">
        <f t="shared" si="13"/>
        <v>-4.1068248988859635E-2</v>
      </c>
    </row>
    <row r="426" spans="1:15">
      <c r="A426" s="105">
        <v>45282</v>
      </c>
      <c r="B426" s="85">
        <v>119.5</v>
      </c>
      <c r="C426" s="85">
        <v>121</v>
      </c>
      <c r="D426" s="85">
        <v>115</v>
      </c>
      <c r="E426" s="85">
        <v>115.95</v>
      </c>
      <c r="F426" s="85">
        <v>1557241</v>
      </c>
      <c r="G426" s="112">
        <f t="shared" si="12"/>
        <v>-3.1166443850267456E-2</v>
      </c>
      <c r="I426" s="105">
        <v>45282</v>
      </c>
      <c r="J426" s="85">
        <v>62838.18</v>
      </c>
      <c r="K426" s="85">
        <v>62995.21</v>
      </c>
      <c r="L426" s="85">
        <v>61569.13</v>
      </c>
      <c r="M426" s="85">
        <v>61705.09</v>
      </c>
      <c r="N426" s="123">
        <v>333554752</v>
      </c>
      <c r="O426" s="112">
        <f t="shared" si="13"/>
        <v>-1.5766691188058291E-2</v>
      </c>
    </row>
    <row r="427" spans="1:15">
      <c r="A427" s="105">
        <v>45281</v>
      </c>
      <c r="B427" s="85">
        <v>116.55</v>
      </c>
      <c r="C427" s="85">
        <v>120.25</v>
      </c>
      <c r="D427" s="85">
        <v>116.1</v>
      </c>
      <c r="E427" s="85">
        <v>119.68</v>
      </c>
      <c r="F427" s="85">
        <v>902675</v>
      </c>
      <c r="G427" s="112">
        <f t="shared" si="12"/>
        <v>4.3638804968111344E-3</v>
      </c>
      <c r="I427" s="105">
        <v>45281</v>
      </c>
      <c r="J427" s="85">
        <v>62742.26</v>
      </c>
      <c r="K427" s="85">
        <v>62850.09</v>
      </c>
      <c r="L427" s="85">
        <v>61750.97</v>
      </c>
      <c r="M427" s="85">
        <v>62693.56</v>
      </c>
      <c r="N427" s="123">
        <v>527220317</v>
      </c>
      <c r="O427" s="112">
        <f t="shared" si="13"/>
        <v>3.9320708538190807E-3</v>
      </c>
    </row>
    <row r="428" spans="1:15">
      <c r="A428" s="105">
        <v>45280</v>
      </c>
      <c r="B428" s="85">
        <v>119.1</v>
      </c>
      <c r="C428" s="85">
        <v>121</v>
      </c>
      <c r="D428" s="85">
        <v>116.25</v>
      </c>
      <c r="E428" s="85">
        <v>119.16</v>
      </c>
      <c r="F428" s="85">
        <v>2337889</v>
      </c>
      <c r="G428" s="112">
        <f t="shared" si="12"/>
        <v>-7.0827431047413292E-3</v>
      </c>
      <c r="I428" s="105">
        <v>45280</v>
      </c>
      <c r="J428" s="85">
        <v>62862.54</v>
      </c>
      <c r="K428" s="85">
        <v>63261.05</v>
      </c>
      <c r="L428" s="85">
        <v>61082.5</v>
      </c>
      <c r="M428" s="85">
        <v>62448.01</v>
      </c>
      <c r="N428" s="123">
        <v>662624425</v>
      </c>
      <c r="O428" s="112">
        <f t="shared" si="13"/>
        <v>-6.1276688391439516E-3</v>
      </c>
    </row>
    <row r="429" spans="1:15">
      <c r="A429" s="105">
        <v>45279</v>
      </c>
      <c r="B429" s="85">
        <v>123.95</v>
      </c>
      <c r="C429" s="85">
        <v>123.95</v>
      </c>
      <c r="D429" s="85">
        <v>118.2</v>
      </c>
      <c r="E429" s="85">
        <v>120.01</v>
      </c>
      <c r="F429" s="85">
        <v>2757183</v>
      </c>
      <c r="G429" s="112">
        <f t="shared" si="12"/>
        <v>-2.8888169606732461E-2</v>
      </c>
      <c r="I429" s="105">
        <v>45279</v>
      </c>
      <c r="J429" s="85">
        <v>65124.3</v>
      </c>
      <c r="K429" s="85">
        <v>65132.03</v>
      </c>
      <c r="L429" s="85">
        <v>62360.78</v>
      </c>
      <c r="M429" s="85">
        <v>62833.03</v>
      </c>
      <c r="N429" s="123">
        <v>949995503</v>
      </c>
      <c r="O429" s="112">
        <f t="shared" si="13"/>
        <v>-3.6372241436081199E-2</v>
      </c>
    </row>
    <row r="430" spans="1:15">
      <c r="A430" s="105">
        <v>45278</v>
      </c>
      <c r="B430" s="85">
        <v>125.11</v>
      </c>
      <c r="C430" s="85">
        <v>126.5</v>
      </c>
      <c r="D430" s="85">
        <v>123</v>
      </c>
      <c r="E430" s="85">
        <v>123.58</v>
      </c>
      <c r="F430" s="85">
        <v>1659917</v>
      </c>
      <c r="G430" s="112">
        <f t="shared" si="12"/>
        <v>-9.8549795689448771E-3</v>
      </c>
      <c r="I430" s="105">
        <v>45278</v>
      </c>
      <c r="J430" s="85">
        <v>66525.7</v>
      </c>
      <c r="K430" s="85">
        <v>66586.61</v>
      </c>
      <c r="L430" s="85">
        <v>65064.94</v>
      </c>
      <c r="M430" s="85">
        <v>65204.67</v>
      </c>
      <c r="N430" s="123">
        <v>963383501</v>
      </c>
      <c r="O430" s="112">
        <f t="shared" si="13"/>
        <v>-1.3992888555001248E-2</v>
      </c>
    </row>
    <row r="431" spans="1:15">
      <c r="A431" s="105">
        <v>45275</v>
      </c>
      <c r="B431" s="85">
        <v>124</v>
      </c>
      <c r="C431" s="85">
        <v>126.7</v>
      </c>
      <c r="D431" s="85">
        <v>122.5</v>
      </c>
      <c r="E431" s="85">
        <v>124.81</v>
      </c>
      <c r="F431" s="85">
        <v>3642220</v>
      </c>
      <c r="G431" s="112">
        <f t="shared" si="12"/>
        <v>1.2000324333090173E-2</v>
      </c>
      <c r="I431" s="105">
        <v>45275</v>
      </c>
      <c r="J431" s="85">
        <v>65774.740000000005</v>
      </c>
      <c r="K431" s="85">
        <v>66346.759999999995</v>
      </c>
      <c r="L431" s="85">
        <v>65559.48</v>
      </c>
      <c r="M431" s="85">
        <v>66130.02</v>
      </c>
      <c r="N431" s="123">
        <v>984029483</v>
      </c>
      <c r="O431" s="112">
        <f t="shared" si="13"/>
        <v>1.0387137208790032E-2</v>
      </c>
    </row>
    <row r="432" spans="1:15">
      <c r="A432" s="105">
        <v>45274</v>
      </c>
      <c r="B432" s="85">
        <v>123.94</v>
      </c>
      <c r="C432" s="85">
        <v>124.49</v>
      </c>
      <c r="D432" s="85">
        <v>121</v>
      </c>
      <c r="E432" s="85">
        <v>123.33</v>
      </c>
      <c r="F432" s="85">
        <v>4067144</v>
      </c>
      <c r="G432" s="112">
        <f t="shared" si="12"/>
        <v>3.5804377898933648E-3</v>
      </c>
      <c r="I432" s="105">
        <v>45274</v>
      </c>
      <c r="J432" s="85">
        <v>65323.06</v>
      </c>
      <c r="K432" s="85">
        <v>65622.55</v>
      </c>
      <c r="L432" s="85">
        <v>64437.69</v>
      </c>
      <c r="M432" s="85">
        <v>65450.18</v>
      </c>
      <c r="N432" s="123">
        <v>407559936</v>
      </c>
      <c r="O432" s="112">
        <f t="shared" si="13"/>
        <v>2.6044666557190066E-3</v>
      </c>
    </row>
    <row r="433" spans="1:15">
      <c r="A433" s="105">
        <v>45273</v>
      </c>
      <c r="B433" s="85">
        <v>124.7</v>
      </c>
      <c r="C433" s="85">
        <v>125.6</v>
      </c>
      <c r="D433" s="85">
        <v>121.2</v>
      </c>
      <c r="E433" s="85">
        <v>122.89</v>
      </c>
      <c r="F433" s="85">
        <v>4172921</v>
      </c>
      <c r="G433" s="112">
        <f t="shared" si="12"/>
        <v>-6.7086970578725813E-3</v>
      </c>
      <c r="I433" s="105">
        <v>45273</v>
      </c>
      <c r="J433" s="85">
        <v>66764.3</v>
      </c>
      <c r="K433" s="85">
        <v>67093.960000000006</v>
      </c>
      <c r="L433" s="85">
        <v>64427.38</v>
      </c>
      <c r="M433" s="85">
        <v>65280.160000000003</v>
      </c>
      <c r="N433" s="123">
        <v>677143245</v>
      </c>
      <c r="O433" s="112">
        <f t="shared" si="13"/>
        <v>-1.7261411737856225E-2</v>
      </c>
    </row>
    <row r="434" spans="1:15">
      <c r="A434" s="105">
        <v>45272</v>
      </c>
      <c r="B434" s="85">
        <v>124.98</v>
      </c>
      <c r="C434" s="85">
        <v>125.4</v>
      </c>
      <c r="D434" s="85">
        <v>122.5</v>
      </c>
      <c r="E434" s="85">
        <v>123.72</v>
      </c>
      <c r="F434" s="85">
        <v>2279126</v>
      </c>
      <c r="G434" s="112">
        <f t="shared" si="12"/>
        <v>-6.4246707356248045E-3</v>
      </c>
      <c r="I434" s="105">
        <v>45272</v>
      </c>
      <c r="J434" s="85">
        <v>66121.14</v>
      </c>
      <c r="K434" s="85">
        <v>66604.039999999994</v>
      </c>
      <c r="L434" s="85">
        <v>66121.13</v>
      </c>
      <c r="M434" s="85">
        <v>66426.78</v>
      </c>
      <c r="N434" s="123">
        <v>467908286</v>
      </c>
      <c r="O434" s="112">
        <f t="shared" si="13"/>
        <v>6.2785249783674502E-3</v>
      </c>
    </row>
    <row r="435" spans="1:15">
      <c r="A435" s="105">
        <v>45271</v>
      </c>
      <c r="B435" s="85">
        <v>129.47</v>
      </c>
      <c r="C435" s="85">
        <v>132.5</v>
      </c>
      <c r="D435" s="85">
        <v>121.16</v>
      </c>
      <c r="E435" s="85">
        <v>124.52</v>
      </c>
      <c r="F435" s="85">
        <v>24836375</v>
      </c>
      <c r="G435" s="112">
        <f t="shared" si="12"/>
        <v>-3.8604076590488035E-2</v>
      </c>
      <c r="I435" s="105">
        <v>45271</v>
      </c>
      <c r="J435" s="85">
        <v>66162.289999999994</v>
      </c>
      <c r="K435" s="85">
        <v>66564.039999999994</v>
      </c>
      <c r="L435" s="85">
        <v>65128.99</v>
      </c>
      <c r="M435" s="85">
        <v>66012.320000000007</v>
      </c>
      <c r="N435" s="123">
        <v>613393284</v>
      </c>
      <c r="O435" s="112">
        <f t="shared" si="13"/>
        <v>-3.1908549863545188E-3</v>
      </c>
    </row>
    <row r="436" spans="1:15">
      <c r="A436" s="105">
        <v>45268</v>
      </c>
      <c r="B436" s="85">
        <v>122</v>
      </c>
      <c r="C436" s="85">
        <v>130.16999999999999</v>
      </c>
      <c r="D436" s="85">
        <v>121.2</v>
      </c>
      <c r="E436" s="85">
        <v>129.52000000000001</v>
      </c>
      <c r="F436" s="85">
        <v>8661913</v>
      </c>
      <c r="G436" s="112">
        <f t="shared" si="12"/>
        <v>6.9617639772070472E-2</v>
      </c>
      <c r="I436" s="105">
        <v>45268</v>
      </c>
      <c r="J436" s="85">
        <v>65055.17</v>
      </c>
      <c r="K436" s="85">
        <v>66273.73</v>
      </c>
      <c r="L436" s="85">
        <v>65055.17</v>
      </c>
      <c r="M436" s="85">
        <v>66223.63</v>
      </c>
      <c r="N436" s="123">
        <v>818336744</v>
      </c>
      <c r="O436" s="112">
        <f t="shared" si="13"/>
        <v>2.3263363694251193E-2</v>
      </c>
    </row>
    <row r="437" spans="1:15">
      <c r="A437" s="105">
        <v>45267</v>
      </c>
      <c r="B437" s="85">
        <v>118.11</v>
      </c>
      <c r="C437" s="85">
        <v>124.2</v>
      </c>
      <c r="D437" s="85">
        <v>118.11</v>
      </c>
      <c r="E437" s="85">
        <v>121.09</v>
      </c>
      <c r="F437" s="85">
        <v>6384442</v>
      </c>
      <c r="G437" s="112">
        <f t="shared" si="12"/>
        <v>3.5311217510259896E-2</v>
      </c>
      <c r="I437" s="105">
        <v>45267</v>
      </c>
      <c r="J437" s="85">
        <v>64159.02</v>
      </c>
      <c r="K437" s="85">
        <v>64958.1</v>
      </c>
      <c r="L437" s="85">
        <v>63853.04</v>
      </c>
      <c r="M437" s="85">
        <v>64718.07</v>
      </c>
      <c r="N437" s="123">
        <v>765341303</v>
      </c>
      <c r="O437" s="112">
        <f t="shared" si="13"/>
        <v>1.2521566789303495E-2</v>
      </c>
    </row>
    <row r="438" spans="1:15">
      <c r="A438" s="105">
        <v>45266</v>
      </c>
      <c r="B438" s="85">
        <v>113</v>
      </c>
      <c r="C438" s="85">
        <v>118</v>
      </c>
      <c r="D438" s="85">
        <v>112.45</v>
      </c>
      <c r="E438" s="85">
        <v>116.96</v>
      </c>
      <c r="F438" s="85">
        <v>2952670</v>
      </c>
      <c r="G438" s="112">
        <f t="shared" si="12"/>
        <v>4.3075002229554959E-2</v>
      </c>
      <c r="I438" s="105">
        <v>45266</v>
      </c>
      <c r="J438" s="85">
        <v>63205.42</v>
      </c>
      <c r="K438" s="85">
        <v>64038.83</v>
      </c>
      <c r="L438" s="85">
        <v>63188.71</v>
      </c>
      <c r="M438" s="85">
        <v>63917.72</v>
      </c>
      <c r="N438" s="123">
        <v>515164227</v>
      </c>
      <c r="O438" s="112">
        <f t="shared" si="13"/>
        <v>1.5275743288727606E-2</v>
      </c>
    </row>
    <row r="439" spans="1:15">
      <c r="A439" s="105">
        <v>45265</v>
      </c>
      <c r="B439" s="85">
        <v>111.53</v>
      </c>
      <c r="C439" s="85">
        <v>114.4</v>
      </c>
      <c r="D439" s="85">
        <v>111.53</v>
      </c>
      <c r="E439" s="85">
        <v>112.13</v>
      </c>
      <c r="F439" s="85">
        <v>2229251</v>
      </c>
      <c r="G439" s="112">
        <f t="shared" si="12"/>
        <v>5.5600394583443791E-3</v>
      </c>
      <c r="I439" s="105">
        <v>45265</v>
      </c>
      <c r="J439" s="85">
        <v>62653.4</v>
      </c>
      <c r="K439" s="85">
        <v>63036.51</v>
      </c>
      <c r="L439" s="85">
        <v>62215.18</v>
      </c>
      <c r="M439" s="85">
        <v>62956.02</v>
      </c>
      <c r="N439" s="123">
        <v>408331339</v>
      </c>
      <c r="O439" s="112">
        <f t="shared" si="13"/>
        <v>7.4083438078313968E-3</v>
      </c>
    </row>
    <row r="440" spans="1:15">
      <c r="A440" s="105">
        <v>45264</v>
      </c>
      <c r="B440" s="85">
        <v>112</v>
      </c>
      <c r="C440" s="85">
        <v>113.1</v>
      </c>
      <c r="D440" s="85">
        <v>111.16</v>
      </c>
      <c r="E440" s="85">
        <v>111.51</v>
      </c>
      <c r="F440" s="85">
        <v>1225196</v>
      </c>
      <c r="G440" s="112">
        <f t="shared" si="12"/>
        <v>-2.6896180742330689E-4</v>
      </c>
      <c r="I440" s="105">
        <v>45264</v>
      </c>
      <c r="J440" s="85">
        <v>62061.57</v>
      </c>
      <c r="K440" s="85">
        <v>62912.61</v>
      </c>
      <c r="L440" s="85">
        <v>62061.56</v>
      </c>
      <c r="M440" s="85">
        <v>62493.05</v>
      </c>
      <c r="N440" s="123">
        <v>368996167</v>
      </c>
      <c r="O440" s="112">
        <f t="shared" si="13"/>
        <v>1.2996980933276614E-2</v>
      </c>
    </row>
    <row r="441" spans="1:15">
      <c r="A441" s="105">
        <v>45261</v>
      </c>
      <c r="B441" s="85">
        <v>112.49</v>
      </c>
      <c r="C441" s="85">
        <v>112.99</v>
      </c>
      <c r="D441" s="85">
        <v>110.5</v>
      </c>
      <c r="E441" s="85">
        <v>111.54</v>
      </c>
      <c r="F441" s="85">
        <v>885115</v>
      </c>
      <c r="G441" s="112">
        <f t="shared" si="12"/>
        <v>-1.1641443538998875E-3</v>
      </c>
      <c r="I441" s="105">
        <v>45261</v>
      </c>
      <c r="J441" s="85">
        <v>60667.83</v>
      </c>
      <c r="K441" s="85">
        <v>61779.72</v>
      </c>
      <c r="L441" s="85">
        <v>60576.41</v>
      </c>
      <c r="M441" s="85">
        <v>61691.25</v>
      </c>
      <c r="N441" s="123">
        <v>295893264</v>
      </c>
      <c r="O441" s="112">
        <f t="shared" si="13"/>
        <v>1.9163318397251494E-2</v>
      </c>
    </row>
    <row r="442" spans="1:15">
      <c r="A442" s="105">
        <v>45260</v>
      </c>
      <c r="B442" s="85">
        <v>112.98</v>
      </c>
      <c r="C442" s="85">
        <v>114.1</v>
      </c>
      <c r="D442" s="85">
        <v>109.05</v>
      </c>
      <c r="E442" s="85">
        <v>111.67</v>
      </c>
      <c r="F442" s="85">
        <v>3226380</v>
      </c>
      <c r="G442" s="112">
        <f t="shared" si="12"/>
        <v>4.4072674941535439E-3</v>
      </c>
      <c r="I442" s="105">
        <v>45260</v>
      </c>
      <c r="J442" s="85">
        <v>60787.9</v>
      </c>
      <c r="K442" s="85">
        <v>60981.67</v>
      </c>
      <c r="L442" s="85">
        <v>60428.13</v>
      </c>
      <c r="M442" s="85">
        <v>60531.27</v>
      </c>
      <c r="N442" s="123">
        <v>232896884</v>
      </c>
      <c r="O442" s="112">
        <f t="shared" si="13"/>
        <v>4.8395102375975441E-4</v>
      </c>
    </row>
    <row r="443" spans="1:15">
      <c r="A443" s="105">
        <v>45259</v>
      </c>
      <c r="B443" s="85">
        <v>115</v>
      </c>
      <c r="C443" s="85">
        <v>116.5</v>
      </c>
      <c r="D443" s="85">
        <v>109.5</v>
      </c>
      <c r="E443" s="85">
        <v>111.18</v>
      </c>
      <c r="F443" s="85">
        <v>3955219</v>
      </c>
      <c r="G443" s="112">
        <f t="shared" si="12"/>
        <v>-3.1111111111111089E-2</v>
      </c>
      <c r="I443" s="105">
        <v>45259</v>
      </c>
      <c r="J443" s="85">
        <v>60916.67</v>
      </c>
      <c r="K443" s="85">
        <v>61555.83</v>
      </c>
      <c r="L443" s="85">
        <v>60328.17</v>
      </c>
      <c r="M443" s="85">
        <v>60501.99</v>
      </c>
      <c r="N443" s="123">
        <v>343522861</v>
      </c>
      <c r="O443" s="112">
        <f t="shared" si="13"/>
        <v>-3.7587522266495643E-3</v>
      </c>
    </row>
    <row r="444" spans="1:15">
      <c r="A444" s="105">
        <v>45258</v>
      </c>
      <c r="B444" s="85">
        <v>111.25</v>
      </c>
      <c r="C444" s="85">
        <v>116.5</v>
      </c>
      <c r="D444" s="85">
        <v>111.25</v>
      </c>
      <c r="E444" s="85">
        <v>114.75</v>
      </c>
      <c r="F444" s="85">
        <v>7088651</v>
      </c>
      <c r="G444" s="112">
        <f t="shared" si="12"/>
        <v>5.246262496560572E-2</v>
      </c>
      <c r="I444" s="105">
        <v>45258</v>
      </c>
      <c r="J444" s="85">
        <v>60023.86</v>
      </c>
      <c r="K444" s="85">
        <v>60845.599999999999</v>
      </c>
      <c r="L444" s="85">
        <v>60023.85</v>
      </c>
      <c r="M444" s="85">
        <v>60730.26</v>
      </c>
      <c r="N444" s="123">
        <v>336599517</v>
      </c>
      <c r="O444" s="112">
        <f t="shared" si="13"/>
        <v>1.5363641744191137E-2</v>
      </c>
    </row>
    <row r="445" spans="1:15">
      <c r="A445" s="105">
        <v>45257</v>
      </c>
      <c r="B445" s="85">
        <v>102.25</v>
      </c>
      <c r="C445" s="85">
        <v>109.03</v>
      </c>
      <c r="D445" s="85">
        <v>102.1</v>
      </c>
      <c r="E445" s="85">
        <v>109.03</v>
      </c>
      <c r="F445" s="85">
        <v>10967560</v>
      </c>
      <c r="G445" s="112">
        <f t="shared" si="12"/>
        <v>7.5034509958588069E-2</v>
      </c>
      <c r="I445" s="105">
        <v>45257</v>
      </c>
      <c r="J445" s="85">
        <v>59298.9</v>
      </c>
      <c r="K445" s="85">
        <v>59896.08</v>
      </c>
      <c r="L445" s="85">
        <v>58999.3</v>
      </c>
      <c r="M445" s="85">
        <v>59811.34</v>
      </c>
      <c r="N445" s="123">
        <v>276857891</v>
      </c>
      <c r="O445" s="112">
        <f t="shared" si="13"/>
        <v>1.2270008216787698E-2</v>
      </c>
    </row>
    <row r="446" spans="1:15">
      <c r="A446" s="105">
        <v>45254</v>
      </c>
      <c r="B446" s="85">
        <v>97.4</v>
      </c>
      <c r="C446" s="85">
        <v>104.18</v>
      </c>
      <c r="D446" s="85">
        <v>97</v>
      </c>
      <c r="E446" s="85">
        <v>101.42</v>
      </c>
      <c r="F446" s="85">
        <v>11462732</v>
      </c>
      <c r="G446" s="112">
        <f t="shared" si="12"/>
        <v>4.6538024971623182E-2</v>
      </c>
      <c r="I446" s="105">
        <v>45254</v>
      </c>
      <c r="J446" s="85">
        <v>59059.56</v>
      </c>
      <c r="K446" s="85">
        <v>59502.28</v>
      </c>
      <c r="L446" s="85">
        <v>58990.21</v>
      </c>
      <c r="M446" s="85">
        <v>59086.35</v>
      </c>
      <c r="N446" s="123">
        <v>289169682</v>
      </c>
      <c r="O446" s="112">
        <f t="shared" si="13"/>
        <v>3.1665620823417839E-3</v>
      </c>
    </row>
    <row r="447" spans="1:15">
      <c r="A447" s="105">
        <v>45253</v>
      </c>
      <c r="B447" s="85">
        <v>96.5</v>
      </c>
      <c r="C447" s="85">
        <v>98.4</v>
      </c>
      <c r="D447" s="85">
        <v>96.1</v>
      </c>
      <c r="E447" s="85">
        <v>96.91</v>
      </c>
      <c r="F447" s="85">
        <v>3262230</v>
      </c>
      <c r="G447" s="112">
        <f t="shared" si="12"/>
        <v>-2.1622734761120865E-3</v>
      </c>
      <c r="I447" s="105">
        <v>45253</v>
      </c>
      <c r="J447" s="85">
        <v>58246.21</v>
      </c>
      <c r="K447" s="85">
        <v>58920.41</v>
      </c>
      <c r="L447" s="85">
        <v>58246.2</v>
      </c>
      <c r="M447" s="85">
        <v>58899.839999999997</v>
      </c>
      <c r="N447" s="123">
        <v>306739122</v>
      </c>
      <c r="O447" s="112">
        <f t="shared" si="13"/>
        <v>1.2059520945736812E-2</v>
      </c>
    </row>
    <row r="448" spans="1:15">
      <c r="A448" s="105">
        <v>45252</v>
      </c>
      <c r="B448" s="85">
        <v>96.05</v>
      </c>
      <c r="C448" s="85">
        <v>97.75</v>
      </c>
      <c r="D448" s="85">
        <v>96.05</v>
      </c>
      <c r="E448" s="85">
        <v>97.12</v>
      </c>
      <c r="F448" s="85">
        <v>1455934</v>
      </c>
      <c r="G448" s="112">
        <f t="shared" si="12"/>
        <v>3.8242894056847998E-3</v>
      </c>
      <c r="I448" s="105">
        <v>45252</v>
      </c>
      <c r="J448" s="85">
        <v>57418.5</v>
      </c>
      <c r="K448" s="85">
        <v>58405.919999999998</v>
      </c>
      <c r="L448" s="85">
        <v>57418.5</v>
      </c>
      <c r="M448" s="85">
        <v>58198</v>
      </c>
      <c r="N448" s="123">
        <v>256574048</v>
      </c>
      <c r="O448" s="112">
        <f t="shared" si="13"/>
        <v>1.4404693055342088E-2</v>
      </c>
    </row>
    <row r="449" spans="1:15">
      <c r="A449" s="105">
        <v>45251</v>
      </c>
      <c r="B449" s="85">
        <v>97</v>
      </c>
      <c r="C449" s="85">
        <v>97.7</v>
      </c>
      <c r="D449" s="85">
        <v>96.65</v>
      </c>
      <c r="E449" s="85">
        <v>96.75</v>
      </c>
      <c r="F449" s="85">
        <v>1664356</v>
      </c>
      <c r="G449" s="112">
        <f t="shared" si="12"/>
        <v>3.3184693560095457E-3</v>
      </c>
      <c r="I449" s="105">
        <v>45251</v>
      </c>
      <c r="J449" s="85">
        <v>57176.46</v>
      </c>
      <c r="K449" s="85">
        <v>57691.22</v>
      </c>
      <c r="L449" s="85">
        <v>57176.45</v>
      </c>
      <c r="M449" s="85">
        <v>57371.58</v>
      </c>
      <c r="N449" s="123">
        <v>355672819</v>
      </c>
      <c r="O449" s="112">
        <f t="shared" si="13"/>
        <v>5.1441922591488609E-3</v>
      </c>
    </row>
    <row r="450" spans="1:15">
      <c r="A450" s="105">
        <v>45250</v>
      </c>
      <c r="B450" s="85">
        <v>97.5</v>
      </c>
      <c r="C450" s="85">
        <v>97.69</v>
      </c>
      <c r="D450" s="85">
        <v>95.82</v>
      </c>
      <c r="E450" s="85">
        <v>96.43</v>
      </c>
      <c r="F450" s="85">
        <v>405567</v>
      </c>
      <c r="G450" s="112">
        <f t="shared" si="12"/>
        <v>-6.0812203669345921E-3</v>
      </c>
      <c r="I450" s="105">
        <v>45250</v>
      </c>
      <c r="J450" s="85">
        <v>57099.82</v>
      </c>
      <c r="K450" s="85">
        <v>57309.26</v>
      </c>
      <c r="L450" s="85">
        <v>56738.39</v>
      </c>
      <c r="M450" s="85">
        <v>57077.96</v>
      </c>
      <c r="N450" s="123">
        <v>314736021</v>
      </c>
      <c r="O450" s="112">
        <f t="shared" si="13"/>
        <v>2.5953702170311566E-4</v>
      </c>
    </row>
    <row r="451" spans="1:15">
      <c r="A451" s="105">
        <v>45247</v>
      </c>
      <c r="B451" s="85">
        <v>101</v>
      </c>
      <c r="C451" s="85">
        <v>101.2</v>
      </c>
      <c r="D451" s="85">
        <v>96.7</v>
      </c>
      <c r="E451" s="85">
        <v>97.02</v>
      </c>
      <c r="F451" s="85">
        <v>2955404</v>
      </c>
      <c r="G451" s="112">
        <f t="shared" si="12"/>
        <v>-5.5350553505535416E-3</v>
      </c>
      <c r="I451" s="105">
        <v>45247</v>
      </c>
      <c r="J451" s="85">
        <v>57503.68</v>
      </c>
      <c r="K451" s="85">
        <v>57750.92</v>
      </c>
      <c r="L451" s="85">
        <v>56977.02</v>
      </c>
      <c r="M451" s="85">
        <v>57063.15</v>
      </c>
      <c r="N451" s="123">
        <v>363423269</v>
      </c>
      <c r="O451" s="112">
        <f t="shared" si="13"/>
        <v>-5.8168525125519288E-3</v>
      </c>
    </row>
    <row r="452" spans="1:15">
      <c r="A452" s="105">
        <v>45246</v>
      </c>
      <c r="B452" s="85">
        <v>98</v>
      </c>
      <c r="C452" s="85">
        <v>98.5</v>
      </c>
      <c r="D452" s="85">
        <v>96.26</v>
      </c>
      <c r="E452" s="85">
        <v>97.56</v>
      </c>
      <c r="F452" s="85">
        <v>1969654</v>
      </c>
      <c r="G452" s="112">
        <f t="shared" ref="G452:G515" si="14">E452/E453-1</f>
        <v>-2.0496003279357744E-4</v>
      </c>
      <c r="I452" s="105">
        <v>45246</v>
      </c>
      <c r="J452" s="85">
        <v>56829.55</v>
      </c>
      <c r="K452" s="85">
        <v>57549.26</v>
      </c>
      <c r="L452" s="85">
        <v>56531.53</v>
      </c>
      <c r="M452" s="85">
        <v>57397.02</v>
      </c>
      <c r="N452" s="123">
        <v>359819193</v>
      </c>
      <c r="O452" s="112">
        <f t="shared" ref="O452:O515" si="15">M452/M453-1</f>
        <v>1.2649245607714521E-2</v>
      </c>
    </row>
    <row r="453" spans="1:15">
      <c r="A453" s="105">
        <v>45245</v>
      </c>
      <c r="B453" s="85">
        <v>98</v>
      </c>
      <c r="C453" s="85">
        <v>99.01</v>
      </c>
      <c r="D453" s="85">
        <v>96.8</v>
      </c>
      <c r="E453" s="85">
        <v>97.58</v>
      </c>
      <c r="F453" s="85">
        <v>3705878</v>
      </c>
      <c r="G453" s="112">
        <f t="shared" si="14"/>
        <v>3.1870052431377527E-3</v>
      </c>
      <c r="I453" s="105">
        <v>45245</v>
      </c>
      <c r="J453" s="85">
        <v>56793.35</v>
      </c>
      <c r="K453" s="85">
        <v>56846.67</v>
      </c>
      <c r="L453" s="85">
        <v>56433.04</v>
      </c>
      <c r="M453" s="85">
        <v>56680.06</v>
      </c>
      <c r="N453" s="123">
        <v>306791871</v>
      </c>
      <c r="O453" s="112">
        <f t="shared" si="15"/>
        <v>2.4935618280674809E-4</v>
      </c>
    </row>
    <row r="454" spans="1:15">
      <c r="A454" s="105">
        <v>45244</v>
      </c>
      <c r="B454" s="85">
        <v>97.2</v>
      </c>
      <c r="C454" s="85">
        <v>97.99</v>
      </c>
      <c r="D454" s="85">
        <v>97</v>
      </c>
      <c r="E454" s="85">
        <v>97.27</v>
      </c>
      <c r="F454" s="85">
        <v>2515511</v>
      </c>
      <c r="G454" s="112">
        <f t="shared" si="14"/>
        <v>-1.949517750872154E-3</v>
      </c>
      <c r="I454" s="105">
        <v>45244</v>
      </c>
      <c r="J454" s="85">
        <v>56732.99</v>
      </c>
      <c r="K454" s="85">
        <v>56873.98</v>
      </c>
      <c r="L454" s="85">
        <v>56118.17</v>
      </c>
      <c r="M454" s="85">
        <v>56665.93</v>
      </c>
      <c r="N454" s="123">
        <v>255537248</v>
      </c>
      <c r="O454" s="112">
        <f t="shared" si="15"/>
        <v>2.5184179770636472E-3</v>
      </c>
    </row>
    <row r="455" spans="1:15">
      <c r="A455" s="105">
        <v>45243</v>
      </c>
      <c r="B455" s="85">
        <v>96.9</v>
      </c>
      <c r="C455" s="85">
        <v>98</v>
      </c>
      <c r="D455" s="85">
        <v>96.9</v>
      </c>
      <c r="E455" s="85">
        <v>97.46</v>
      </c>
      <c r="F455" s="85">
        <v>2758478</v>
      </c>
      <c r="G455" s="112">
        <f t="shared" si="14"/>
        <v>8.1721319954484173E-3</v>
      </c>
      <c r="I455" s="105">
        <v>45243</v>
      </c>
      <c r="J455" s="85">
        <v>55644.68</v>
      </c>
      <c r="K455" s="85">
        <v>56583.59</v>
      </c>
      <c r="L455" s="85">
        <v>55644.67</v>
      </c>
      <c r="M455" s="85">
        <v>56523.58</v>
      </c>
      <c r="N455" s="123">
        <v>300340813</v>
      </c>
      <c r="O455" s="112">
        <f t="shared" si="15"/>
        <v>2.0440371928040824E-2</v>
      </c>
    </row>
    <row r="456" spans="1:15">
      <c r="A456" s="105">
        <v>45240</v>
      </c>
      <c r="B456" s="85">
        <v>96.25</v>
      </c>
      <c r="C456" s="85">
        <v>97.6</v>
      </c>
      <c r="D456" s="85">
        <v>96.05</v>
      </c>
      <c r="E456" s="85">
        <v>96.67</v>
      </c>
      <c r="F456" s="85">
        <v>3398014</v>
      </c>
      <c r="G456" s="112">
        <f t="shared" si="14"/>
        <v>6.2454460289373959E-3</v>
      </c>
      <c r="I456" s="105">
        <v>45240</v>
      </c>
      <c r="J456" s="85">
        <v>54371.74</v>
      </c>
      <c r="K456" s="85">
        <v>55506.32</v>
      </c>
      <c r="L456" s="85">
        <v>54371.74</v>
      </c>
      <c r="M456" s="85">
        <v>55391.360000000001</v>
      </c>
      <c r="N456" s="123">
        <v>372306379</v>
      </c>
      <c r="O456" s="112">
        <f t="shared" si="15"/>
        <v>2.0824003500092836E-2</v>
      </c>
    </row>
    <row r="457" spans="1:15">
      <c r="A457" s="105">
        <v>45238</v>
      </c>
      <c r="B457" s="85">
        <v>94.05</v>
      </c>
      <c r="C457" s="85">
        <v>97</v>
      </c>
      <c r="D457" s="85">
        <v>94</v>
      </c>
      <c r="E457" s="85">
        <v>96.07</v>
      </c>
      <c r="F457" s="85">
        <v>7270220</v>
      </c>
      <c r="G457" s="112">
        <f t="shared" si="14"/>
        <v>2.1477937267410985E-2</v>
      </c>
      <c r="I457" s="105">
        <v>45238</v>
      </c>
      <c r="J457" s="85">
        <v>53720.46</v>
      </c>
      <c r="K457" s="85">
        <v>54419.65</v>
      </c>
      <c r="L457" s="85">
        <v>53720.45</v>
      </c>
      <c r="M457" s="85">
        <v>54261.42</v>
      </c>
      <c r="N457" s="123">
        <v>259130534</v>
      </c>
      <c r="O457" s="112">
        <f t="shared" si="15"/>
        <v>9.7828763096732274E-3</v>
      </c>
    </row>
    <row r="458" spans="1:15">
      <c r="A458" s="105">
        <v>45237</v>
      </c>
      <c r="B458" s="85">
        <v>94.05</v>
      </c>
      <c r="C458" s="85">
        <v>96.25</v>
      </c>
      <c r="D458" s="85">
        <v>93.75</v>
      </c>
      <c r="E458" s="85">
        <v>94.05</v>
      </c>
      <c r="F458" s="85">
        <v>2191751</v>
      </c>
      <c r="G458" s="112">
        <f t="shared" si="14"/>
        <v>-2.22788033099941E-3</v>
      </c>
      <c r="I458" s="105">
        <v>45237</v>
      </c>
      <c r="J458" s="85">
        <v>53977.16</v>
      </c>
      <c r="K458" s="85">
        <v>54312.89</v>
      </c>
      <c r="L458" s="85">
        <v>53711.46</v>
      </c>
      <c r="M458" s="85">
        <v>53735.73</v>
      </c>
      <c r="N458" s="123">
        <v>246164787</v>
      </c>
      <c r="O458" s="112">
        <f t="shared" si="15"/>
        <v>-2.3139466576160839E-3</v>
      </c>
    </row>
    <row r="459" spans="1:15">
      <c r="A459" s="105">
        <v>45236</v>
      </c>
      <c r="B459" s="85">
        <v>93.98</v>
      </c>
      <c r="C459" s="85">
        <v>94.94</v>
      </c>
      <c r="D459" s="85">
        <v>93.3</v>
      </c>
      <c r="E459" s="85">
        <v>94.26</v>
      </c>
      <c r="F459" s="85">
        <v>1160523</v>
      </c>
      <c r="G459" s="112">
        <f t="shared" si="14"/>
        <v>8.6677367576244446E-3</v>
      </c>
      <c r="I459" s="105">
        <v>45236</v>
      </c>
      <c r="J459" s="85">
        <v>53286.64</v>
      </c>
      <c r="K459" s="85">
        <v>53944.89</v>
      </c>
      <c r="L459" s="85">
        <v>53166.85</v>
      </c>
      <c r="M459" s="85">
        <v>53860.36</v>
      </c>
      <c r="N459" s="123">
        <v>269491781</v>
      </c>
      <c r="O459" s="112">
        <f t="shared" si="15"/>
        <v>1.3879667631910397E-2</v>
      </c>
    </row>
    <row r="460" spans="1:15">
      <c r="A460" s="105">
        <v>45233</v>
      </c>
      <c r="B460" s="85">
        <v>94.8</v>
      </c>
      <c r="C460" s="85">
        <v>95.5</v>
      </c>
      <c r="D460" s="85">
        <v>93</v>
      </c>
      <c r="E460" s="85">
        <v>93.45</v>
      </c>
      <c r="F460" s="85">
        <v>818894</v>
      </c>
      <c r="G460" s="112">
        <f t="shared" si="14"/>
        <v>-1.4136512290325975E-2</v>
      </c>
      <c r="I460" s="105">
        <v>45233</v>
      </c>
      <c r="J460" s="85">
        <v>52916.99</v>
      </c>
      <c r="K460" s="85">
        <v>53263.07</v>
      </c>
      <c r="L460" s="85">
        <v>52782.21</v>
      </c>
      <c r="M460" s="85">
        <v>53123.03</v>
      </c>
      <c r="N460" s="123">
        <v>215903590</v>
      </c>
      <c r="O460" s="112">
        <f t="shared" si="15"/>
        <v>8.8548934647707522E-3</v>
      </c>
    </row>
    <row r="461" spans="1:15">
      <c r="A461" s="105">
        <v>45232</v>
      </c>
      <c r="B461" s="85">
        <v>93</v>
      </c>
      <c r="C461" s="85">
        <v>94.99</v>
      </c>
      <c r="D461" s="85">
        <v>92.53</v>
      </c>
      <c r="E461" s="85">
        <v>94.79</v>
      </c>
      <c r="F461" s="85">
        <v>1403865</v>
      </c>
      <c r="G461" s="112">
        <f t="shared" si="14"/>
        <v>-6.9146149816657898E-3</v>
      </c>
      <c r="I461" s="105">
        <v>45232</v>
      </c>
      <c r="J461" s="85">
        <v>52421.09</v>
      </c>
      <c r="K461" s="85">
        <v>52706</v>
      </c>
      <c r="L461" s="85">
        <v>52239.58</v>
      </c>
      <c r="M461" s="85">
        <v>52656.76</v>
      </c>
      <c r="N461" s="123">
        <v>182993002</v>
      </c>
      <c r="O461" s="112">
        <f t="shared" si="15"/>
        <v>6.0014179646685761E-3</v>
      </c>
    </row>
    <row r="462" spans="1:15">
      <c r="A462" s="105">
        <v>45231</v>
      </c>
      <c r="B462" s="85">
        <v>94.01</v>
      </c>
      <c r="C462" s="85">
        <v>96.68</v>
      </c>
      <c r="D462" s="85">
        <v>94</v>
      </c>
      <c r="E462" s="85">
        <v>95.45</v>
      </c>
      <c r="F462" s="85">
        <v>3197497</v>
      </c>
      <c r="G462" s="112">
        <f t="shared" si="14"/>
        <v>1.8133333333333335E-2</v>
      </c>
      <c r="I462" s="105">
        <v>45231</v>
      </c>
      <c r="J462" s="85">
        <v>52075.16</v>
      </c>
      <c r="K462" s="85">
        <v>52451.199999999997</v>
      </c>
      <c r="L462" s="85">
        <v>52075.16</v>
      </c>
      <c r="M462" s="85">
        <v>52342.63</v>
      </c>
      <c r="N462" s="123">
        <v>258255099</v>
      </c>
      <c r="O462" s="112">
        <f t="shared" si="15"/>
        <v>8.1347805009488461E-3</v>
      </c>
    </row>
    <row r="463" spans="1:15">
      <c r="A463" s="105">
        <v>45230</v>
      </c>
      <c r="B463" s="85">
        <v>94.35</v>
      </c>
      <c r="C463" s="85">
        <v>95</v>
      </c>
      <c r="D463" s="85">
        <v>93.55</v>
      </c>
      <c r="E463" s="85">
        <v>93.75</v>
      </c>
      <c r="F463" s="85">
        <v>1751671</v>
      </c>
      <c r="G463" s="112">
        <f t="shared" si="14"/>
        <v>6.4040986231184149E-4</v>
      </c>
      <c r="I463" s="105">
        <v>45230</v>
      </c>
      <c r="J463" s="85">
        <v>51633</v>
      </c>
      <c r="K463" s="85">
        <v>52088.7</v>
      </c>
      <c r="L463" s="85">
        <v>51508.57</v>
      </c>
      <c r="M463" s="85">
        <v>51920.27</v>
      </c>
      <c r="N463" s="123">
        <v>252190357</v>
      </c>
      <c r="O463" s="112">
        <f t="shared" si="15"/>
        <v>8.4950503972966995E-3</v>
      </c>
    </row>
    <row r="464" spans="1:15">
      <c r="A464" s="105">
        <v>45229</v>
      </c>
      <c r="B464" s="85">
        <v>95.99</v>
      </c>
      <c r="C464" s="85">
        <v>95.99</v>
      </c>
      <c r="D464" s="85">
        <v>92.8</v>
      </c>
      <c r="E464" s="85">
        <v>93.69</v>
      </c>
      <c r="F464" s="85">
        <v>8100776</v>
      </c>
      <c r="G464" s="112">
        <f t="shared" si="14"/>
        <v>-1.7718599287062209E-2</v>
      </c>
      <c r="I464" s="105">
        <v>45229</v>
      </c>
      <c r="J464" s="85">
        <v>50971.839999999997</v>
      </c>
      <c r="K464" s="85">
        <v>51501.82</v>
      </c>
      <c r="L464" s="85">
        <v>50971.839999999997</v>
      </c>
      <c r="M464" s="85">
        <v>51482.92</v>
      </c>
      <c r="N464" s="123">
        <v>137434765</v>
      </c>
      <c r="O464" s="112">
        <f t="shared" si="15"/>
        <v>1.0582046932867017E-2</v>
      </c>
    </row>
    <row r="465" spans="1:15">
      <c r="A465" s="105">
        <v>45226</v>
      </c>
      <c r="B465" s="85">
        <v>96.7</v>
      </c>
      <c r="C465" s="85">
        <v>97.5</v>
      </c>
      <c r="D465" s="85">
        <v>95.01</v>
      </c>
      <c r="E465" s="85">
        <v>95.38</v>
      </c>
      <c r="F465" s="85">
        <v>1515079</v>
      </c>
      <c r="G465" s="112">
        <f t="shared" si="14"/>
        <v>-6.6652780670694023E-3</v>
      </c>
      <c r="I465" s="105">
        <v>45226</v>
      </c>
      <c r="J465" s="85">
        <v>51219.11</v>
      </c>
      <c r="K465" s="85">
        <v>51269.73</v>
      </c>
      <c r="L465" s="85">
        <v>50834.720000000001</v>
      </c>
      <c r="M465" s="85">
        <v>50943.83</v>
      </c>
      <c r="N465" s="123">
        <v>178785483</v>
      </c>
      <c r="O465" s="112">
        <f t="shared" si="15"/>
        <v>-4.7171765007438804E-3</v>
      </c>
    </row>
    <row r="466" spans="1:15">
      <c r="A466" s="105">
        <v>45225</v>
      </c>
      <c r="B466" s="85">
        <v>97.75</v>
      </c>
      <c r="C466" s="85">
        <v>98.68</v>
      </c>
      <c r="D466" s="85">
        <v>95.8</v>
      </c>
      <c r="E466" s="85">
        <v>96.02</v>
      </c>
      <c r="F466" s="85">
        <v>1123703</v>
      </c>
      <c r="G466" s="112">
        <f t="shared" si="14"/>
        <v>-1.4674191893278676E-2</v>
      </c>
      <c r="I466" s="105">
        <v>45225</v>
      </c>
      <c r="J466" s="85">
        <v>51341.919999999998</v>
      </c>
      <c r="K466" s="85">
        <v>51520.68</v>
      </c>
      <c r="L466" s="85">
        <v>51140.639999999999</v>
      </c>
      <c r="M466" s="85">
        <v>51185.279999999999</v>
      </c>
      <c r="N466" s="123">
        <v>175300260</v>
      </c>
      <c r="O466" s="112">
        <f t="shared" si="15"/>
        <v>1.5925082160728188E-4</v>
      </c>
    </row>
    <row r="467" spans="1:15">
      <c r="A467" s="105">
        <v>45224</v>
      </c>
      <c r="B467" s="85">
        <v>99.4</v>
      </c>
      <c r="C467" s="85">
        <v>100.7</v>
      </c>
      <c r="D467" s="85">
        <v>96.5</v>
      </c>
      <c r="E467" s="85">
        <v>97.45</v>
      </c>
      <c r="F467" s="85">
        <v>2706525</v>
      </c>
      <c r="G467" s="112">
        <f t="shared" si="14"/>
        <v>-1.6848264729620643E-2</v>
      </c>
      <c r="I467" s="105">
        <v>45224</v>
      </c>
      <c r="J467" s="85">
        <v>51023.31</v>
      </c>
      <c r="K467" s="85">
        <v>51483.839999999997</v>
      </c>
      <c r="L467" s="85">
        <v>51023.31</v>
      </c>
      <c r="M467" s="85">
        <v>51177.13</v>
      </c>
      <c r="N467" s="123">
        <v>215696389</v>
      </c>
      <c r="O467" s="112">
        <f t="shared" si="15"/>
        <v>2.9236923928341874E-3</v>
      </c>
    </row>
    <row r="468" spans="1:15">
      <c r="A468" s="105">
        <v>45223</v>
      </c>
      <c r="B468" s="85">
        <v>99.9</v>
      </c>
      <c r="C468" s="85">
        <v>99.9</v>
      </c>
      <c r="D468" s="85">
        <v>98.11</v>
      </c>
      <c r="E468" s="85">
        <v>99.12</v>
      </c>
      <c r="F468" s="85">
        <v>815048</v>
      </c>
      <c r="G468" s="112">
        <f t="shared" si="14"/>
        <v>-2.2146164686933645E-3</v>
      </c>
      <c r="I468" s="105">
        <v>45223</v>
      </c>
      <c r="J468" s="85">
        <v>51121.919999999998</v>
      </c>
      <c r="K468" s="85">
        <v>51121.919999999998</v>
      </c>
      <c r="L468" s="85">
        <v>50624.38</v>
      </c>
      <c r="M468" s="85">
        <v>51027.94</v>
      </c>
      <c r="N468" s="123">
        <v>145554910</v>
      </c>
      <c r="O468" s="112">
        <f t="shared" si="15"/>
        <v>-8.3961839657165083E-4</v>
      </c>
    </row>
    <row r="469" spans="1:15">
      <c r="A469" s="105">
        <v>45222</v>
      </c>
      <c r="B469" s="85">
        <v>101</v>
      </c>
      <c r="C469" s="85">
        <v>101</v>
      </c>
      <c r="D469" s="85">
        <v>99.13</v>
      </c>
      <c r="E469" s="85">
        <v>99.34</v>
      </c>
      <c r="F469" s="85">
        <v>1445805</v>
      </c>
      <c r="G469" s="112">
        <f t="shared" si="14"/>
        <v>-5.008012820512775E-3</v>
      </c>
      <c r="I469" s="105">
        <v>45222</v>
      </c>
      <c r="J469" s="85">
        <v>50924.38</v>
      </c>
      <c r="K469" s="85">
        <v>51419.86</v>
      </c>
      <c r="L469" s="85">
        <v>50924.37</v>
      </c>
      <c r="M469" s="85">
        <v>51070.82</v>
      </c>
      <c r="N469" s="123">
        <v>188079460</v>
      </c>
      <c r="O469" s="112">
        <f t="shared" si="15"/>
        <v>6.6814029684698628E-3</v>
      </c>
    </row>
    <row r="470" spans="1:15">
      <c r="A470" s="105">
        <v>45219</v>
      </c>
      <c r="B470" s="85">
        <v>98.55</v>
      </c>
      <c r="C470" s="85">
        <v>100.94</v>
      </c>
      <c r="D470" s="85">
        <v>97.6</v>
      </c>
      <c r="E470" s="85">
        <v>99.84</v>
      </c>
      <c r="F470" s="85">
        <v>6108214</v>
      </c>
      <c r="G470" s="112">
        <f t="shared" si="14"/>
        <v>1.6286644951140072E-2</v>
      </c>
      <c r="I470" s="105">
        <v>45219</v>
      </c>
      <c r="J470" s="85">
        <v>50417.99</v>
      </c>
      <c r="K470" s="85">
        <v>50952.67</v>
      </c>
      <c r="L470" s="85">
        <v>50332.75</v>
      </c>
      <c r="M470" s="85">
        <v>50731.86</v>
      </c>
      <c r="N470" s="123">
        <v>210055910</v>
      </c>
      <c r="O470" s="112">
        <f t="shared" si="15"/>
        <v>7.2810266622853614E-3</v>
      </c>
    </row>
    <row r="471" spans="1:15">
      <c r="A471" s="105">
        <v>45218</v>
      </c>
      <c r="B471" s="85">
        <v>95.5</v>
      </c>
      <c r="C471" s="85">
        <v>99</v>
      </c>
      <c r="D471" s="85">
        <v>95.1</v>
      </c>
      <c r="E471" s="85">
        <v>98.24</v>
      </c>
      <c r="F471" s="85">
        <v>3130496</v>
      </c>
      <c r="G471" s="112">
        <f t="shared" si="14"/>
        <v>3.2258064516129004E-2</v>
      </c>
      <c r="I471" s="105">
        <v>45218</v>
      </c>
      <c r="J471" s="85">
        <v>49487.16</v>
      </c>
      <c r="K471" s="85">
        <v>50399.92</v>
      </c>
      <c r="L471" s="85">
        <v>49436.92</v>
      </c>
      <c r="M471" s="85">
        <v>50365.15</v>
      </c>
      <c r="N471" s="123">
        <v>249126199</v>
      </c>
      <c r="O471" s="112">
        <f t="shared" si="15"/>
        <v>1.8888372124074015E-2</v>
      </c>
    </row>
    <row r="472" spans="1:15">
      <c r="A472" s="105">
        <v>45217</v>
      </c>
      <c r="B472" s="85">
        <v>95.99</v>
      </c>
      <c r="C472" s="85">
        <v>96.9</v>
      </c>
      <c r="D472" s="85">
        <v>94.85</v>
      </c>
      <c r="E472" s="85">
        <v>95.17</v>
      </c>
      <c r="F472" s="85">
        <v>564595</v>
      </c>
      <c r="G472" s="112">
        <f t="shared" si="14"/>
        <v>-8.9555347287305631E-3</v>
      </c>
      <c r="I472" s="105">
        <v>45217</v>
      </c>
      <c r="J472" s="85">
        <v>49496.19</v>
      </c>
      <c r="K472" s="85">
        <v>49740.97</v>
      </c>
      <c r="L472" s="85">
        <v>49383.71</v>
      </c>
      <c r="M472" s="85">
        <v>49431.47</v>
      </c>
      <c r="N472" s="123">
        <v>157191807</v>
      </c>
      <c r="O472" s="112">
        <f t="shared" si="15"/>
        <v>-2.0096501161596114E-3</v>
      </c>
    </row>
    <row r="473" spans="1:15">
      <c r="A473" s="105">
        <v>45216</v>
      </c>
      <c r="B473" s="85">
        <v>97.49</v>
      </c>
      <c r="C473" s="85">
        <v>97.95</v>
      </c>
      <c r="D473" s="85">
        <v>95.8</v>
      </c>
      <c r="E473" s="85">
        <v>96.03</v>
      </c>
      <c r="F473" s="85">
        <v>893777</v>
      </c>
      <c r="G473" s="112">
        <f t="shared" si="14"/>
        <v>-1.0713917791284611E-2</v>
      </c>
      <c r="I473" s="105">
        <v>45216</v>
      </c>
      <c r="J473" s="85">
        <v>49792.49</v>
      </c>
      <c r="K473" s="85">
        <v>50017.45</v>
      </c>
      <c r="L473" s="85">
        <v>49508.41</v>
      </c>
      <c r="M473" s="85">
        <v>49531.01</v>
      </c>
      <c r="N473" s="123">
        <v>221287157</v>
      </c>
      <c r="O473" s="112">
        <f t="shared" si="15"/>
        <v>-4.0284448340934809E-3</v>
      </c>
    </row>
    <row r="474" spans="1:15">
      <c r="A474" s="105">
        <v>45215</v>
      </c>
      <c r="B474" s="85">
        <v>98.7</v>
      </c>
      <c r="C474" s="85">
        <v>99.75</v>
      </c>
      <c r="D474" s="85">
        <v>96.9</v>
      </c>
      <c r="E474" s="85">
        <v>97.07</v>
      </c>
      <c r="F474" s="85">
        <v>2261851</v>
      </c>
      <c r="G474" s="112">
        <f t="shared" si="14"/>
        <v>-1.2346949274617547E-3</v>
      </c>
      <c r="I474" s="105">
        <v>45215</v>
      </c>
      <c r="J474" s="85">
        <v>49705.41</v>
      </c>
      <c r="K474" s="85">
        <v>49919.03</v>
      </c>
      <c r="L474" s="85">
        <v>49317.59</v>
      </c>
      <c r="M474" s="85">
        <v>49731.35</v>
      </c>
      <c r="N474" s="123">
        <v>296340716</v>
      </c>
      <c r="O474" s="112">
        <f t="shared" si="15"/>
        <v>4.8062906076296041E-3</v>
      </c>
    </row>
    <row r="475" spans="1:15">
      <c r="A475" s="105">
        <v>45212</v>
      </c>
      <c r="B475" s="85">
        <v>96</v>
      </c>
      <c r="C475" s="85">
        <v>98.1</v>
      </c>
      <c r="D475" s="85">
        <v>95.55</v>
      </c>
      <c r="E475" s="85">
        <v>97.19</v>
      </c>
      <c r="F475" s="85">
        <v>4567050</v>
      </c>
      <c r="G475" s="112">
        <f t="shared" si="14"/>
        <v>1.9404237465911356E-2</v>
      </c>
      <c r="I475" s="105">
        <v>45212</v>
      </c>
      <c r="J475" s="85">
        <v>48821.58</v>
      </c>
      <c r="K475" s="85">
        <v>49520.37</v>
      </c>
      <c r="L475" s="85">
        <v>48767.59</v>
      </c>
      <c r="M475" s="85">
        <v>49493.47</v>
      </c>
      <c r="N475" s="123">
        <v>369813447</v>
      </c>
      <c r="O475" s="112">
        <f t="shared" si="15"/>
        <v>1.4798742959801992E-2</v>
      </c>
    </row>
    <row r="476" spans="1:15">
      <c r="A476" s="105">
        <v>45211</v>
      </c>
      <c r="B476" s="85">
        <v>94.49</v>
      </c>
      <c r="C476" s="85">
        <v>95.7</v>
      </c>
      <c r="D476" s="85">
        <v>94.3</v>
      </c>
      <c r="E476" s="85">
        <v>95.34</v>
      </c>
      <c r="F476" s="85">
        <v>6603532</v>
      </c>
      <c r="G476" s="112">
        <f t="shared" si="14"/>
        <v>6.2269129287599867E-3</v>
      </c>
      <c r="I476" s="105">
        <v>45211</v>
      </c>
      <c r="J476" s="85">
        <v>48520.71</v>
      </c>
      <c r="K476" s="85">
        <v>48830.26</v>
      </c>
      <c r="L476" s="85">
        <v>48359.37</v>
      </c>
      <c r="M476" s="85">
        <v>48771.71</v>
      </c>
      <c r="N476" s="123">
        <v>223229778</v>
      </c>
      <c r="O476" s="112">
        <f t="shared" si="15"/>
        <v>6.1304346570385526E-3</v>
      </c>
    </row>
    <row r="477" spans="1:15">
      <c r="A477" s="105">
        <v>45210</v>
      </c>
      <c r="B477" s="85">
        <v>94.05</v>
      </c>
      <c r="C477" s="85">
        <v>94.9</v>
      </c>
      <c r="D477" s="85">
        <v>93.81</v>
      </c>
      <c r="E477" s="85">
        <v>94.75</v>
      </c>
      <c r="F477" s="85">
        <v>1574495</v>
      </c>
      <c r="G477" s="112">
        <f t="shared" si="14"/>
        <v>7.4428495481126955E-3</v>
      </c>
      <c r="I477" s="105">
        <v>45210</v>
      </c>
      <c r="J477" s="85">
        <v>48210.6</v>
      </c>
      <c r="K477" s="85">
        <v>48516.639999999999</v>
      </c>
      <c r="L477" s="85">
        <v>48208.3</v>
      </c>
      <c r="M477" s="85">
        <v>48474.54</v>
      </c>
      <c r="N477" s="123">
        <v>275943536</v>
      </c>
      <c r="O477" s="112">
        <f t="shared" si="15"/>
        <v>6.943666913376445E-3</v>
      </c>
    </row>
    <row r="478" spans="1:15">
      <c r="A478" s="105">
        <v>45209</v>
      </c>
      <c r="B478" s="85">
        <v>93.5</v>
      </c>
      <c r="C478" s="85">
        <v>94.93</v>
      </c>
      <c r="D478" s="85">
        <v>93.3</v>
      </c>
      <c r="E478" s="85">
        <v>94.05</v>
      </c>
      <c r="F478" s="85">
        <v>1548916</v>
      </c>
      <c r="G478" s="112">
        <f t="shared" si="14"/>
        <v>1.9175455417066445E-3</v>
      </c>
      <c r="I478" s="105">
        <v>45209</v>
      </c>
      <c r="J478" s="85">
        <v>47752.69</v>
      </c>
      <c r="K478" s="85">
        <v>48166.36</v>
      </c>
      <c r="L478" s="85">
        <v>47708.11</v>
      </c>
      <c r="M478" s="85">
        <v>48140.27</v>
      </c>
      <c r="N478" s="123">
        <v>169366744</v>
      </c>
      <c r="O478" s="112">
        <f t="shared" si="15"/>
        <v>8.7691597486179163E-3</v>
      </c>
    </row>
    <row r="479" spans="1:15">
      <c r="A479" s="105">
        <v>45208</v>
      </c>
      <c r="B479" s="85">
        <v>94.13</v>
      </c>
      <c r="C479" s="85">
        <v>95.3</v>
      </c>
      <c r="D479" s="85">
        <v>93</v>
      </c>
      <c r="E479" s="85">
        <v>93.87</v>
      </c>
      <c r="F479" s="85">
        <v>884303</v>
      </c>
      <c r="G479" s="112">
        <f t="shared" si="14"/>
        <v>-1.1166122405983359E-2</v>
      </c>
      <c r="I479" s="105">
        <v>45208</v>
      </c>
      <c r="J479" s="85">
        <v>47376.59</v>
      </c>
      <c r="K479" s="85">
        <v>47775.72</v>
      </c>
      <c r="L479" s="85">
        <v>47217.74</v>
      </c>
      <c r="M479" s="85">
        <v>47721.79</v>
      </c>
      <c r="N479" s="123">
        <v>116346026</v>
      </c>
      <c r="O479" s="112">
        <f t="shared" si="15"/>
        <v>4.805282062392946E-3</v>
      </c>
    </row>
    <row r="480" spans="1:15">
      <c r="A480" s="105">
        <v>45205</v>
      </c>
      <c r="B480" s="85">
        <v>96</v>
      </c>
      <c r="C480" s="85">
        <v>96.84</v>
      </c>
      <c r="D480" s="85">
        <v>94.55</v>
      </c>
      <c r="E480" s="85">
        <v>94.93</v>
      </c>
      <c r="F480" s="85">
        <v>1659892</v>
      </c>
      <c r="G480" s="112">
        <f t="shared" si="14"/>
        <v>-1.473793461338857E-2</v>
      </c>
      <c r="I480" s="105">
        <v>45205</v>
      </c>
      <c r="J480" s="85">
        <v>47545.3</v>
      </c>
      <c r="K480" s="85">
        <v>47619.25</v>
      </c>
      <c r="L480" s="85">
        <v>47402.57</v>
      </c>
      <c r="M480" s="85">
        <v>47493.57</v>
      </c>
      <c r="N480" s="123">
        <v>116567496</v>
      </c>
      <c r="O480" s="112">
        <f t="shared" si="15"/>
        <v>8.6802811576580652E-4</v>
      </c>
    </row>
    <row r="481" spans="1:15">
      <c r="A481" s="105">
        <v>45204</v>
      </c>
      <c r="B481" s="85">
        <v>95.89</v>
      </c>
      <c r="C481" s="85">
        <v>96.95</v>
      </c>
      <c r="D481" s="85">
        <v>95.25</v>
      </c>
      <c r="E481" s="85">
        <v>96.35</v>
      </c>
      <c r="F481" s="85">
        <v>2769647</v>
      </c>
      <c r="G481" s="112">
        <f t="shared" si="14"/>
        <v>1.2824555870913468E-2</v>
      </c>
      <c r="I481" s="105">
        <v>45204</v>
      </c>
      <c r="J481" s="85">
        <v>47152.98</v>
      </c>
      <c r="K481" s="85">
        <v>47484.56</v>
      </c>
      <c r="L481" s="85">
        <v>47152.98</v>
      </c>
      <c r="M481" s="85">
        <v>47452.38</v>
      </c>
      <c r="N481" s="123">
        <v>182435686</v>
      </c>
      <c r="O481" s="112">
        <f t="shared" si="15"/>
        <v>7.9131551664479716E-3</v>
      </c>
    </row>
    <row r="482" spans="1:15">
      <c r="A482" s="105">
        <v>45203</v>
      </c>
      <c r="B482" s="85">
        <v>90.11</v>
      </c>
      <c r="C482" s="85">
        <v>95.6</v>
      </c>
      <c r="D482" s="85">
        <v>90.11</v>
      </c>
      <c r="E482" s="85">
        <v>95.13</v>
      </c>
      <c r="F482" s="85">
        <v>6427190</v>
      </c>
      <c r="G482" s="112">
        <f t="shared" si="14"/>
        <v>5.6882568603488393E-2</v>
      </c>
      <c r="I482" s="105">
        <v>45203</v>
      </c>
      <c r="J482" s="85">
        <v>46760.83</v>
      </c>
      <c r="K482" s="85">
        <v>47199.5</v>
      </c>
      <c r="L482" s="85">
        <v>46748.79</v>
      </c>
      <c r="M482" s="85">
        <v>47079.83</v>
      </c>
      <c r="N482" s="123">
        <v>100274648</v>
      </c>
      <c r="O482" s="112">
        <f t="shared" si="15"/>
        <v>6.9087277144714854E-3</v>
      </c>
    </row>
    <row r="483" spans="1:15">
      <c r="A483" s="105">
        <v>45202</v>
      </c>
      <c r="B483" s="85">
        <v>90</v>
      </c>
      <c r="C483" s="85">
        <v>90.49</v>
      </c>
      <c r="D483" s="85">
        <v>89.55</v>
      </c>
      <c r="E483" s="85">
        <v>90.01</v>
      </c>
      <c r="F483" s="85">
        <v>2027775</v>
      </c>
      <c r="G483" s="112">
        <f t="shared" si="14"/>
        <v>-2.2214817283128241E-4</v>
      </c>
      <c r="I483" s="105">
        <v>45202</v>
      </c>
      <c r="J483" s="85">
        <v>46685.93</v>
      </c>
      <c r="K483" s="85">
        <v>46820.71</v>
      </c>
      <c r="L483" s="85">
        <v>46670.78</v>
      </c>
      <c r="M483" s="85">
        <v>46756.800000000003</v>
      </c>
      <c r="N483" s="123">
        <v>95173296</v>
      </c>
      <c r="O483" s="112">
        <f t="shared" si="15"/>
        <v>2.7820742795816589E-3</v>
      </c>
    </row>
    <row r="484" spans="1:15">
      <c r="A484" s="105">
        <v>45201</v>
      </c>
      <c r="B484" s="85">
        <v>90.52</v>
      </c>
      <c r="C484" s="85">
        <v>91.38</v>
      </c>
      <c r="D484" s="85">
        <v>89.56</v>
      </c>
      <c r="E484" s="85">
        <v>90.03</v>
      </c>
      <c r="F484" s="85">
        <v>473314</v>
      </c>
      <c r="G484" s="112">
        <f t="shared" si="14"/>
        <v>-4.5333923042900626E-3</v>
      </c>
      <c r="I484" s="105">
        <v>45201</v>
      </c>
      <c r="J484" s="85">
        <v>46294.62</v>
      </c>
      <c r="K484" s="85">
        <v>46704.63</v>
      </c>
      <c r="L484" s="85">
        <v>46294.62</v>
      </c>
      <c r="M484" s="85">
        <v>46627.08</v>
      </c>
      <c r="N484" s="123">
        <v>100351138</v>
      </c>
      <c r="O484" s="112">
        <f t="shared" si="15"/>
        <v>8.5327255081319997E-3</v>
      </c>
    </row>
    <row r="485" spans="1:15">
      <c r="A485" s="105">
        <v>45197</v>
      </c>
      <c r="B485" s="85">
        <v>90.98</v>
      </c>
      <c r="C485" s="85">
        <v>90.99</v>
      </c>
      <c r="D485" s="85">
        <v>89.7</v>
      </c>
      <c r="E485" s="85">
        <v>90.44</v>
      </c>
      <c r="F485" s="85">
        <v>1735704</v>
      </c>
      <c r="G485" s="112">
        <f t="shared" si="14"/>
        <v>-7.7339520494978942E-4</v>
      </c>
      <c r="I485" s="105">
        <v>45197</v>
      </c>
      <c r="J485" s="85">
        <v>46464.29</v>
      </c>
      <c r="K485" s="85">
        <v>46469.59</v>
      </c>
      <c r="L485" s="85">
        <v>46177.49</v>
      </c>
      <c r="M485" s="85">
        <v>46232.59</v>
      </c>
      <c r="N485" s="123">
        <v>80528410</v>
      </c>
      <c r="O485" s="112">
        <f t="shared" si="15"/>
        <v>-2.8566782213496067E-3</v>
      </c>
    </row>
    <row r="486" spans="1:15">
      <c r="A486" s="105">
        <v>45196</v>
      </c>
      <c r="B486" s="85">
        <v>92</v>
      </c>
      <c r="C486" s="85">
        <v>92.5</v>
      </c>
      <c r="D486" s="85">
        <v>90.41</v>
      </c>
      <c r="E486" s="85">
        <v>90.51</v>
      </c>
      <c r="F486" s="85">
        <v>1839908</v>
      </c>
      <c r="G486" s="112">
        <f t="shared" si="14"/>
        <v>-2.1301903114186893E-2</v>
      </c>
      <c r="I486" s="105">
        <v>45196</v>
      </c>
      <c r="J486" s="85">
        <v>46291.28</v>
      </c>
      <c r="K486" s="85">
        <v>46448.33</v>
      </c>
      <c r="L486" s="85">
        <v>46238.12</v>
      </c>
      <c r="M486" s="85">
        <v>46365.04</v>
      </c>
      <c r="N486" s="123">
        <v>91939003</v>
      </c>
      <c r="O486" s="112">
        <f t="shared" si="15"/>
        <v>1.8883845657677867E-3</v>
      </c>
    </row>
    <row r="487" spans="1:15">
      <c r="A487" s="105">
        <v>45195</v>
      </c>
      <c r="B487" s="85">
        <v>94.35</v>
      </c>
      <c r="C487" s="85">
        <v>94.35</v>
      </c>
      <c r="D487" s="85">
        <v>92.02</v>
      </c>
      <c r="E487" s="85">
        <v>92.48</v>
      </c>
      <c r="F487" s="85">
        <v>2075200</v>
      </c>
      <c r="G487" s="112">
        <f t="shared" si="14"/>
        <v>-2.0650217092025858E-2</v>
      </c>
      <c r="I487" s="105">
        <v>45195</v>
      </c>
      <c r="J487" s="85">
        <v>46399.88</v>
      </c>
      <c r="K487" s="85">
        <v>46503.82</v>
      </c>
      <c r="L487" s="85">
        <v>46258.96</v>
      </c>
      <c r="M487" s="85">
        <v>46277.65</v>
      </c>
      <c r="N487" s="123">
        <v>95627367</v>
      </c>
      <c r="O487" s="112">
        <f t="shared" si="15"/>
        <v>-2.5007721958619777E-3</v>
      </c>
    </row>
    <row r="488" spans="1:15">
      <c r="A488" s="105">
        <v>45194</v>
      </c>
      <c r="B488" s="85">
        <v>96.6</v>
      </c>
      <c r="C488" s="85">
        <v>96.6</v>
      </c>
      <c r="D488" s="85">
        <v>94.25</v>
      </c>
      <c r="E488" s="85">
        <v>94.43</v>
      </c>
      <c r="F488" s="85">
        <v>2349224</v>
      </c>
      <c r="G488" s="112">
        <f t="shared" si="14"/>
        <v>-1.9214790195263731E-2</v>
      </c>
      <c r="I488" s="105">
        <v>45194</v>
      </c>
      <c r="J488" s="85">
        <v>46486.05</v>
      </c>
      <c r="K488" s="85">
        <v>46590.26</v>
      </c>
      <c r="L488" s="85">
        <v>46305.88</v>
      </c>
      <c r="M488" s="85">
        <v>46393.67</v>
      </c>
      <c r="N488" s="123">
        <v>89591756</v>
      </c>
      <c r="O488" s="112">
        <f t="shared" si="15"/>
        <v>-5.919715474520526E-4</v>
      </c>
    </row>
    <row r="489" spans="1:15">
      <c r="A489" s="105">
        <v>45191</v>
      </c>
      <c r="B489" s="85">
        <v>96.5</v>
      </c>
      <c r="C489" s="85">
        <v>96.69</v>
      </c>
      <c r="D489" s="85">
        <v>95.76</v>
      </c>
      <c r="E489" s="85">
        <v>96.28</v>
      </c>
      <c r="F489" s="85">
        <v>1863813</v>
      </c>
      <c r="G489" s="112">
        <f t="shared" si="14"/>
        <v>2.0777062123422674E-4</v>
      </c>
      <c r="I489" s="105">
        <v>45191</v>
      </c>
      <c r="J489" s="85">
        <v>46322.34</v>
      </c>
      <c r="K489" s="85">
        <v>46500.45</v>
      </c>
      <c r="L489" s="85">
        <v>46181.99</v>
      </c>
      <c r="M489" s="85">
        <v>46421.15</v>
      </c>
      <c r="N489" s="123">
        <v>94480015</v>
      </c>
      <c r="O489" s="112">
        <f t="shared" si="15"/>
        <v>4.7406915526819748E-3</v>
      </c>
    </row>
    <row r="490" spans="1:15">
      <c r="A490" s="105">
        <v>45190</v>
      </c>
      <c r="B490" s="85">
        <v>95.5</v>
      </c>
      <c r="C490" s="85">
        <v>96.75</v>
      </c>
      <c r="D490" s="85">
        <v>95.01</v>
      </c>
      <c r="E490" s="85">
        <v>96.26</v>
      </c>
      <c r="F490" s="85">
        <v>3144597</v>
      </c>
      <c r="G490" s="112">
        <f t="shared" si="14"/>
        <v>7.8525808815830267E-3</v>
      </c>
      <c r="I490" s="105">
        <v>45190</v>
      </c>
      <c r="J490" s="85">
        <v>45917.5</v>
      </c>
      <c r="K490" s="85">
        <v>46309.8</v>
      </c>
      <c r="L490" s="85">
        <v>45733.440000000002</v>
      </c>
      <c r="M490" s="85">
        <v>46202.12</v>
      </c>
      <c r="N490" s="123">
        <v>74186692</v>
      </c>
      <c r="O490" s="112">
        <f t="shared" si="15"/>
        <v>6.8109158573506079E-3</v>
      </c>
    </row>
    <row r="491" spans="1:15">
      <c r="A491" s="105">
        <v>45189</v>
      </c>
      <c r="B491" s="85">
        <v>96.8</v>
      </c>
      <c r="C491" s="85">
        <v>96.8</v>
      </c>
      <c r="D491" s="85">
        <v>95.45</v>
      </c>
      <c r="E491" s="85">
        <v>95.51</v>
      </c>
      <c r="F491" s="85">
        <v>882935</v>
      </c>
      <c r="G491" s="112">
        <f t="shared" si="14"/>
        <v>-5.311393459695779E-3</v>
      </c>
      <c r="I491" s="105">
        <v>45189</v>
      </c>
      <c r="J491" s="85">
        <v>45947.39</v>
      </c>
      <c r="K491" s="85">
        <v>46035.09</v>
      </c>
      <c r="L491" s="85">
        <v>45808.1</v>
      </c>
      <c r="M491" s="85">
        <v>45889.57</v>
      </c>
      <c r="N491" s="123">
        <v>46225114</v>
      </c>
      <c r="O491" s="112">
        <f t="shared" si="15"/>
        <v>-4.5501613357823434E-4</v>
      </c>
    </row>
    <row r="492" spans="1:15">
      <c r="A492" s="105">
        <v>45188</v>
      </c>
      <c r="B492" s="85">
        <v>96</v>
      </c>
      <c r="C492" s="85">
        <v>96.75</v>
      </c>
      <c r="D492" s="85">
        <v>95.5</v>
      </c>
      <c r="E492" s="85">
        <v>96.02</v>
      </c>
      <c r="F492" s="85">
        <v>1715578</v>
      </c>
      <c r="G492" s="112">
        <f t="shared" si="14"/>
        <v>4.9188906331762983E-3</v>
      </c>
      <c r="I492" s="105">
        <v>45188</v>
      </c>
      <c r="J492" s="85">
        <v>45850.2</v>
      </c>
      <c r="K492" s="85">
        <v>46036.03</v>
      </c>
      <c r="L492" s="85">
        <v>45850.2</v>
      </c>
      <c r="M492" s="85">
        <v>45910.46</v>
      </c>
      <c r="N492" s="123">
        <v>57099739</v>
      </c>
      <c r="O492" s="112">
        <f t="shared" si="15"/>
        <v>2.3419766177856793E-3</v>
      </c>
    </row>
    <row r="493" spans="1:15">
      <c r="A493" s="105">
        <v>45187</v>
      </c>
      <c r="B493" s="85">
        <v>95.97</v>
      </c>
      <c r="C493" s="85">
        <v>96.5</v>
      </c>
      <c r="D493" s="85">
        <v>94.95</v>
      </c>
      <c r="E493" s="85">
        <v>95.55</v>
      </c>
      <c r="F493" s="85">
        <v>889980</v>
      </c>
      <c r="G493" s="112">
        <f t="shared" si="14"/>
        <v>4.3094387218836072E-3</v>
      </c>
      <c r="I493" s="105">
        <v>45187</v>
      </c>
      <c r="J493" s="85">
        <v>45824.42</v>
      </c>
      <c r="K493" s="85">
        <v>45907.08</v>
      </c>
      <c r="L493" s="85">
        <v>45662.7</v>
      </c>
      <c r="M493" s="85">
        <v>45803.19</v>
      </c>
      <c r="N493" s="123">
        <v>38482836</v>
      </c>
      <c r="O493" s="112">
        <f t="shared" si="15"/>
        <v>1.085818333937727E-3</v>
      </c>
    </row>
    <row r="494" spans="1:15">
      <c r="A494" s="105">
        <v>45184</v>
      </c>
      <c r="B494" s="85">
        <v>96.5</v>
      </c>
      <c r="C494" s="85">
        <v>96.5</v>
      </c>
      <c r="D494" s="85">
        <v>94.55</v>
      </c>
      <c r="E494" s="85">
        <v>95.14</v>
      </c>
      <c r="F494" s="85">
        <v>4841767</v>
      </c>
      <c r="G494" s="112">
        <f t="shared" si="14"/>
        <v>-6.7856770017747925E-3</v>
      </c>
      <c r="I494" s="105">
        <v>45184</v>
      </c>
      <c r="J494" s="85">
        <v>45986.58</v>
      </c>
      <c r="K494" s="85">
        <v>46093.01</v>
      </c>
      <c r="L494" s="85">
        <v>45700.65</v>
      </c>
      <c r="M494" s="85">
        <v>45753.51</v>
      </c>
      <c r="N494" s="123">
        <v>140164860</v>
      </c>
      <c r="O494" s="112">
        <f t="shared" si="15"/>
        <v>2.2663721069309251E-3</v>
      </c>
    </row>
    <row r="495" spans="1:15">
      <c r="A495" s="105">
        <v>45183</v>
      </c>
      <c r="B495" s="85">
        <v>96.65</v>
      </c>
      <c r="C495" s="85">
        <v>96.65</v>
      </c>
      <c r="D495" s="85">
        <v>95.45</v>
      </c>
      <c r="E495" s="85">
        <v>95.79</v>
      </c>
      <c r="F495" s="85">
        <v>1058498</v>
      </c>
      <c r="G495" s="112">
        <f t="shared" si="14"/>
        <v>-7.3023158773199981E-4</v>
      </c>
      <c r="I495" s="105">
        <v>45183</v>
      </c>
      <c r="J495" s="85">
        <v>45581.72</v>
      </c>
      <c r="K495" s="85">
        <v>45776.959999999999</v>
      </c>
      <c r="L495" s="85">
        <v>45581.48</v>
      </c>
      <c r="M495" s="85">
        <v>45650.05</v>
      </c>
      <c r="N495" s="123">
        <v>61386957</v>
      </c>
      <c r="O495" s="112">
        <f t="shared" si="15"/>
        <v>1.2969687823805032E-3</v>
      </c>
    </row>
    <row r="496" spans="1:15">
      <c r="A496" s="105">
        <v>45182</v>
      </c>
      <c r="B496" s="85">
        <v>96.3</v>
      </c>
      <c r="C496" s="85">
        <v>96.6</v>
      </c>
      <c r="D496" s="85">
        <v>95.75</v>
      </c>
      <c r="E496" s="85">
        <v>95.86</v>
      </c>
      <c r="F496" s="85">
        <v>893778</v>
      </c>
      <c r="G496" s="112">
        <f t="shared" si="14"/>
        <v>-4.0519480519480844E-3</v>
      </c>
      <c r="I496" s="105">
        <v>45182</v>
      </c>
      <c r="J496" s="85">
        <v>45507.73</v>
      </c>
      <c r="K496" s="85">
        <v>45732.72</v>
      </c>
      <c r="L496" s="85">
        <v>45500.21</v>
      </c>
      <c r="M496" s="85">
        <v>45590.92</v>
      </c>
      <c r="N496" s="123">
        <v>47422802</v>
      </c>
      <c r="O496" s="112">
        <f t="shared" si="15"/>
        <v>1.8135117502509068E-3</v>
      </c>
    </row>
    <row r="497" spans="1:15">
      <c r="A497" s="105">
        <v>45181</v>
      </c>
      <c r="B497" s="85">
        <v>97</v>
      </c>
      <c r="C497" s="85">
        <v>97.63</v>
      </c>
      <c r="D497" s="85">
        <v>95.9</v>
      </c>
      <c r="E497" s="85">
        <v>96.25</v>
      </c>
      <c r="F497" s="85">
        <v>1456006</v>
      </c>
      <c r="G497" s="112">
        <f t="shared" si="14"/>
        <v>-5.3735661878681062E-3</v>
      </c>
      <c r="I497" s="105">
        <v>45181</v>
      </c>
      <c r="J497" s="85">
        <v>45902.720000000001</v>
      </c>
      <c r="K497" s="85">
        <v>45902.720000000001</v>
      </c>
      <c r="L497" s="85">
        <v>45468.27</v>
      </c>
      <c r="M497" s="85">
        <v>45508.39</v>
      </c>
      <c r="N497" s="123">
        <v>58398860</v>
      </c>
      <c r="O497" s="112">
        <f t="shared" si="15"/>
        <v>-7.7910021272964425E-3</v>
      </c>
    </row>
    <row r="498" spans="1:15">
      <c r="A498" s="105">
        <v>45180</v>
      </c>
      <c r="B498" s="85">
        <v>97.5</v>
      </c>
      <c r="C498" s="85">
        <v>98.4</v>
      </c>
      <c r="D498" s="85">
        <v>96.3</v>
      </c>
      <c r="E498" s="85">
        <v>96.77</v>
      </c>
      <c r="F498" s="85">
        <v>2835937</v>
      </c>
      <c r="G498" s="112">
        <f t="shared" si="14"/>
        <v>-5.549275511252727E-3</v>
      </c>
      <c r="I498" s="105">
        <v>45180</v>
      </c>
      <c r="J498" s="85">
        <v>46071.19</v>
      </c>
      <c r="K498" s="85">
        <v>46174.68</v>
      </c>
      <c r="L498" s="85">
        <v>45678.15</v>
      </c>
      <c r="M498" s="85">
        <v>45865.73</v>
      </c>
      <c r="N498" s="123">
        <v>140183512</v>
      </c>
      <c r="O498" s="112">
        <f t="shared" si="15"/>
        <v>-3.2110155545722607E-3</v>
      </c>
    </row>
    <row r="499" spans="1:15">
      <c r="A499" s="105">
        <v>45177</v>
      </c>
      <c r="B499" s="85">
        <v>97.99</v>
      </c>
      <c r="C499" s="85">
        <v>97.99</v>
      </c>
      <c r="D499" s="85">
        <v>96.42</v>
      </c>
      <c r="E499" s="85">
        <v>97.31</v>
      </c>
      <c r="F499" s="85">
        <v>3200703</v>
      </c>
      <c r="G499" s="112">
        <f t="shared" si="14"/>
        <v>-1.7439474764053831E-3</v>
      </c>
      <c r="I499" s="105">
        <v>45177</v>
      </c>
      <c r="J499" s="85">
        <v>45812.7</v>
      </c>
      <c r="K499" s="85">
        <v>46077.38</v>
      </c>
      <c r="L499" s="85">
        <v>45728.89</v>
      </c>
      <c r="M499" s="85">
        <v>46013.48</v>
      </c>
      <c r="N499" s="123">
        <v>67980063</v>
      </c>
      <c r="O499" s="112">
        <f t="shared" si="15"/>
        <v>5.6002078797166011E-3</v>
      </c>
    </row>
    <row r="500" spans="1:15">
      <c r="A500" s="105">
        <v>45176</v>
      </c>
      <c r="B500" s="85">
        <v>98.47</v>
      </c>
      <c r="C500" s="85">
        <v>98.5</v>
      </c>
      <c r="D500" s="85">
        <v>97.1</v>
      </c>
      <c r="E500" s="85">
        <v>97.48</v>
      </c>
      <c r="F500" s="85">
        <v>1186121</v>
      </c>
      <c r="G500" s="112">
        <f t="shared" si="14"/>
        <v>-1.6386726751330682E-3</v>
      </c>
      <c r="I500" s="105">
        <v>45176</v>
      </c>
      <c r="J500" s="85">
        <v>45854.239999999998</v>
      </c>
      <c r="K500" s="85">
        <v>46035.81</v>
      </c>
      <c r="L500" s="85">
        <v>45703.53</v>
      </c>
      <c r="M500" s="85">
        <v>45757.23</v>
      </c>
      <c r="N500" s="123">
        <v>98984688</v>
      </c>
      <c r="O500" s="112">
        <f t="shared" si="15"/>
        <v>-1.0989449997019785E-3</v>
      </c>
    </row>
    <row r="501" spans="1:15">
      <c r="A501" s="105">
        <v>45175</v>
      </c>
      <c r="B501" s="85">
        <v>97.96</v>
      </c>
      <c r="C501" s="85">
        <v>98.5</v>
      </c>
      <c r="D501" s="85">
        <v>97.21</v>
      </c>
      <c r="E501" s="85">
        <v>97.64</v>
      </c>
      <c r="F501" s="85">
        <v>1227413</v>
      </c>
      <c r="G501" s="112">
        <f t="shared" si="14"/>
        <v>-1.0240655401949628E-4</v>
      </c>
      <c r="I501" s="105">
        <v>45175</v>
      </c>
      <c r="J501" s="85">
        <v>45515.03</v>
      </c>
      <c r="K501" s="85">
        <v>45854.18</v>
      </c>
      <c r="L501" s="85">
        <v>45460.28</v>
      </c>
      <c r="M501" s="85">
        <v>45807.57</v>
      </c>
      <c r="N501" s="123">
        <v>74242782</v>
      </c>
      <c r="O501" s="112">
        <f t="shared" si="15"/>
        <v>6.9483340616747213E-3</v>
      </c>
    </row>
    <row r="502" spans="1:15">
      <c r="A502" s="105">
        <v>45174</v>
      </c>
      <c r="B502" s="85">
        <v>96</v>
      </c>
      <c r="C502" s="85">
        <v>98.5</v>
      </c>
      <c r="D502" s="85">
        <v>96</v>
      </c>
      <c r="E502" s="85">
        <v>97.65</v>
      </c>
      <c r="F502" s="85">
        <v>1186285</v>
      </c>
      <c r="G502" s="112">
        <f t="shared" si="14"/>
        <v>1.3913404630879533E-2</v>
      </c>
      <c r="I502" s="105">
        <v>45174</v>
      </c>
      <c r="J502" s="85">
        <v>45825.120000000003</v>
      </c>
      <c r="K502" s="85">
        <v>45950.68</v>
      </c>
      <c r="L502" s="85">
        <v>45416.99</v>
      </c>
      <c r="M502" s="85">
        <v>45491.48</v>
      </c>
      <c r="N502" s="123">
        <v>55028384</v>
      </c>
      <c r="O502" s="112">
        <f t="shared" si="15"/>
        <v>-4.7243970453811901E-3</v>
      </c>
    </row>
    <row r="503" spans="1:15">
      <c r="A503" s="105">
        <v>45173</v>
      </c>
      <c r="B503" s="85">
        <v>97</v>
      </c>
      <c r="C503" s="85">
        <v>98.99</v>
      </c>
      <c r="D503" s="85">
        <v>95.5</v>
      </c>
      <c r="E503" s="85">
        <v>96.31</v>
      </c>
      <c r="F503" s="85">
        <v>347198</v>
      </c>
      <c r="G503" s="112">
        <f t="shared" si="14"/>
        <v>4.5895483467195408E-3</v>
      </c>
      <c r="I503" s="105">
        <v>45173</v>
      </c>
      <c r="J503" s="85">
        <v>45461.58</v>
      </c>
      <c r="K503" s="85">
        <v>45788.74</v>
      </c>
      <c r="L503" s="85">
        <v>45448.02</v>
      </c>
      <c r="M503" s="85">
        <v>45707.42</v>
      </c>
      <c r="N503" s="123">
        <v>55254788</v>
      </c>
      <c r="O503" s="112">
        <f t="shared" si="15"/>
        <v>8.7121366770648301E-3</v>
      </c>
    </row>
    <row r="504" spans="1:15">
      <c r="A504" s="105">
        <v>45170</v>
      </c>
      <c r="B504" s="85">
        <v>96</v>
      </c>
      <c r="C504" s="85">
        <v>96.9</v>
      </c>
      <c r="D504" s="85">
        <v>94.1</v>
      </c>
      <c r="E504" s="85">
        <v>95.87</v>
      </c>
      <c r="F504" s="85">
        <v>913660</v>
      </c>
      <c r="G504" s="112">
        <f t="shared" si="14"/>
        <v>-2.8084044102349992E-3</v>
      </c>
      <c r="I504" s="105">
        <v>45170</v>
      </c>
      <c r="J504" s="85">
        <v>45005.74</v>
      </c>
      <c r="K504" s="85">
        <v>45358.28</v>
      </c>
      <c r="L504" s="85">
        <v>44795.81</v>
      </c>
      <c r="M504" s="85">
        <v>45312.65</v>
      </c>
      <c r="N504" s="123">
        <v>55690564</v>
      </c>
      <c r="O504" s="112">
        <f t="shared" si="15"/>
        <v>6.8938530180939761E-3</v>
      </c>
    </row>
    <row r="505" spans="1:15">
      <c r="A505" s="105">
        <v>45169</v>
      </c>
      <c r="B505" s="85">
        <v>99</v>
      </c>
      <c r="C505" s="85">
        <v>99</v>
      </c>
      <c r="D505" s="85">
        <v>94</v>
      </c>
      <c r="E505" s="85">
        <v>96.14</v>
      </c>
      <c r="F505" s="85">
        <v>2999070</v>
      </c>
      <c r="G505" s="112">
        <f t="shared" si="14"/>
        <v>-1.7676509655665695E-2</v>
      </c>
      <c r="I505" s="105">
        <v>45169</v>
      </c>
      <c r="J505" s="85">
        <v>46286.73</v>
      </c>
      <c r="K505" s="85">
        <v>46358.01</v>
      </c>
      <c r="L505" s="85">
        <v>44459.62</v>
      </c>
      <c r="M505" s="85">
        <v>45002.41</v>
      </c>
      <c r="N505" s="123">
        <v>169142258</v>
      </c>
      <c r="O505" s="112">
        <f t="shared" si="15"/>
        <v>-2.686024623442107E-2</v>
      </c>
    </row>
    <row r="506" spans="1:15">
      <c r="A506" s="105">
        <v>45168</v>
      </c>
      <c r="B506" s="85">
        <v>97.6</v>
      </c>
      <c r="C506" s="85">
        <v>98.25</v>
      </c>
      <c r="D506" s="85">
        <v>95.35</v>
      </c>
      <c r="E506" s="85">
        <v>97.87</v>
      </c>
      <c r="F506" s="85">
        <v>2201296</v>
      </c>
      <c r="G506" s="112">
        <f t="shared" si="14"/>
        <v>2.8691464289374302E-3</v>
      </c>
      <c r="I506" s="105">
        <v>45168</v>
      </c>
      <c r="J506" s="85">
        <v>46771.14</v>
      </c>
      <c r="K506" s="85">
        <v>46857.88</v>
      </c>
      <c r="L506" s="85">
        <v>46101.33</v>
      </c>
      <c r="M506" s="85">
        <v>46244.55</v>
      </c>
      <c r="N506" s="123">
        <v>101472129</v>
      </c>
      <c r="O506" s="112">
        <f t="shared" si="15"/>
        <v>-1.1243433615399145E-2</v>
      </c>
    </row>
    <row r="507" spans="1:15">
      <c r="A507" s="105">
        <v>45167</v>
      </c>
      <c r="B507" s="85">
        <v>98</v>
      </c>
      <c r="C507" s="85">
        <v>98.84</v>
      </c>
      <c r="D507" s="85">
        <v>96.15</v>
      </c>
      <c r="E507" s="85">
        <v>97.59</v>
      </c>
      <c r="F507" s="85">
        <v>1417854</v>
      </c>
      <c r="G507" s="112">
        <f t="shared" si="14"/>
        <v>-1.3544930759122664E-2</v>
      </c>
      <c r="I507" s="105">
        <v>45167</v>
      </c>
      <c r="J507" s="85">
        <v>47322.44</v>
      </c>
      <c r="K507" s="85">
        <v>47372.08</v>
      </c>
      <c r="L507" s="85">
        <v>46598.23</v>
      </c>
      <c r="M507" s="85">
        <v>46770.41</v>
      </c>
      <c r="N507" s="123">
        <v>111051776</v>
      </c>
      <c r="O507" s="112">
        <f t="shared" si="15"/>
        <v>-1.4916190680392627E-2</v>
      </c>
    </row>
    <row r="508" spans="1:15">
      <c r="A508" s="105">
        <v>45166</v>
      </c>
      <c r="B508" s="85">
        <v>99.06</v>
      </c>
      <c r="C508" s="85">
        <v>99.88</v>
      </c>
      <c r="D508" s="85">
        <v>98.25</v>
      </c>
      <c r="E508" s="85">
        <v>98.93</v>
      </c>
      <c r="F508" s="85">
        <v>808711</v>
      </c>
      <c r="G508" s="112">
        <f t="shared" si="14"/>
        <v>-8.4193645384382787E-3</v>
      </c>
      <c r="I508" s="105">
        <v>45166</v>
      </c>
      <c r="J508" s="85">
        <v>47732.79</v>
      </c>
      <c r="K508" s="85">
        <v>47733.5</v>
      </c>
      <c r="L508" s="85">
        <v>47399.27</v>
      </c>
      <c r="M508" s="85">
        <v>47478.61</v>
      </c>
      <c r="N508" s="123">
        <v>97813577</v>
      </c>
      <c r="O508" s="112">
        <f t="shared" si="15"/>
        <v>-4.0401743526123912E-3</v>
      </c>
    </row>
    <row r="509" spans="1:15">
      <c r="A509" s="105">
        <v>45163</v>
      </c>
      <c r="B509" s="85">
        <v>99.5</v>
      </c>
      <c r="C509" s="85">
        <v>100.1</v>
      </c>
      <c r="D509" s="85">
        <v>99.4</v>
      </c>
      <c r="E509" s="85">
        <v>99.77</v>
      </c>
      <c r="F509" s="85">
        <v>1378150</v>
      </c>
      <c r="G509" s="112">
        <f t="shared" si="14"/>
        <v>-1.3013013013013497E-3</v>
      </c>
      <c r="I509" s="105">
        <v>45163</v>
      </c>
      <c r="J509" s="85">
        <v>47818.32</v>
      </c>
      <c r="K509" s="85">
        <v>47853.55</v>
      </c>
      <c r="L509" s="85">
        <v>47570.31</v>
      </c>
      <c r="M509" s="85">
        <v>47671.21</v>
      </c>
      <c r="N509" s="123">
        <v>91943441</v>
      </c>
      <c r="O509" s="112">
        <f t="shared" si="15"/>
        <v>-1.6659420708696748E-3</v>
      </c>
    </row>
    <row r="510" spans="1:15">
      <c r="A510" s="105">
        <v>45162</v>
      </c>
      <c r="B510" s="85">
        <v>99.25</v>
      </c>
      <c r="C510" s="85">
        <v>100.75</v>
      </c>
      <c r="D510" s="85">
        <v>99.25</v>
      </c>
      <c r="E510" s="85">
        <v>99.9</v>
      </c>
      <c r="F510" s="85">
        <v>10046060</v>
      </c>
      <c r="G510" s="112">
        <f t="shared" si="14"/>
        <v>1.1023148612085976E-3</v>
      </c>
      <c r="I510" s="105">
        <v>45162</v>
      </c>
      <c r="J510" s="85">
        <v>47487.86</v>
      </c>
      <c r="K510" s="85">
        <v>47994.18</v>
      </c>
      <c r="L510" s="85">
        <v>47463.68</v>
      </c>
      <c r="M510" s="85">
        <v>47750.76</v>
      </c>
      <c r="N510" s="123">
        <v>168476614</v>
      </c>
      <c r="O510" s="112">
        <f t="shared" si="15"/>
        <v>7.0042091051556454E-3</v>
      </c>
    </row>
    <row r="511" spans="1:15">
      <c r="A511" s="105">
        <v>45161</v>
      </c>
      <c r="B511" s="85">
        <v>99.4</v>
      </c>
      <c r="C511" s="85">
        <v>100.5</v>
      </c>
      <c r="D511" s="85">
        <v>97.5</v>
      </c>
      <c r="E511" s="85">
        <v>99.79</v>
      </c>
      <c r="F511" s="85">
        <v>4511576</v>
      </c>
      <c r="G511" s="112">
        <f t="shared" si="14"/>
        <v>1.2479707792207861E-2</v>
      </c>
      <c r="I511" s="105">
        <v>45161</v>
      </c>
      <c r="J511" s="85">
        <v>47503.35</v>
      </c>
      <c r="K511" s="85">
        <v>47588.23</v>
      </c>
      <c r="L511" s="85">
        <v>47007.65</v>
      </c>
      <c r="M511" s="85">
        <v>47418.63</v>
      </c>
      <c r="N511" s="123">
        <v>96280945</v>
      </c>
      <c r="O511" s="112">
        <f t="shared" si="15"/>
        <v>1.5395030146692079E-5</v>
      </c>
    </row>
    <row r="512" spans="1:15">
      <c r="A512" s="105">
        <v>45160</v>
      </c>
      <c r="B512" s="85">
        <v>98.29</v>
      </c>
      <c r="C512" s="85">
        <v>99.32</v>
      </c>
      <c r="D512" s="85">
        <v>97.6</v>
      </c>
      <c r="E512" s="85">
        <v>98.56</v>
      </c>
      <c r="F512" s="85">
        <v>1901474</v>
      </c>
      <c r="G512" s="112">
        <f t="shared" si="14"/>
        <v>0</v>
      </c>
      <c r="I512" s="105">
        <v>45160</v>
      </c>
      <c r="J512" s="85">
        <v>47451.64</v>
      </c>
      <c r="K512" s="85">
        <v>47675.21</v>
      </c>
      <c r="L512" s="85">
        <v>47359.17</v>
      </c>
      <c r="M512" s="85">
        <v>47417.9</v>
      </c>
      <c r="N512" s="123">
        <v>73227553</v>
      </c>
      <c r="O512" s="112">
        <f t="shared" si="15"/>
        <v>-6.333255704408236E-4</v>
      </c>
    </row>
    <row r="513" spans="1:15">
      <c r="A513" s="105">
        <v>45159</v>
      </c>
      <c r="B513" s="85">
        <v>100.19</v>
      </c>
      <c r="C513" s="85">
        <v>101</v>
      </c>
      <c r="D513" s="85">
        <v>98.01</v>
      </c>
      <c r="E513" s="85">
        <v>98.56</v>
      </c>
      <c r="F513" s="85">
        <v>1396037</v>
      </c>
      <c r="G513" s="112">
        <f t="shared" si="14"/>
        <v>-2.656790123456787E-2</v>
      </c>
      <c r="I513" s="105">
        <v>45159</v>
      </c>
      <c r="J513" s="85">
        <v>48141.31</v>
      </c>
      <c r="K513" s="85">
        <v>48234.25</v>
      </c>
      <c r="L513" s="85">
        <v>47432.71</v>
      </c>
      <c r="M513" s="85">
        <v>47447.95</v>
      </c>
      <c r="N513" s="123">
        <v>84335337</v>
      </c>
      <c r="O513" s="112">
        <f t="shared" si="15"/>
        <v>-1.598017689894482E-2</v>
      </c>
    </row>
    <row r="514" spans="1:15">
      <c r="A514" s="105">
        <v>45156</v>
      </c>
      <c r="B514" s="85">
        <v>101.25</v>
      </c>
      <c r="C514" s="85">
        <v>102.45</v>
      </c>
      <c r="D514" s="85">
        <v>101.05</v>
      </c>
      <c r="E514" s="85">
        <v>101.25</v>
      </c>
      <c r="F514" s="85">
        <v>1530212</v>
      </c>
      <c r="G514" s="112">
        <f t="shared" si="14"/>
        <v>-7.8949965459385041E-4</v>
      </c>
      <c r="I514" s="105">
        <v>45156</v>
      </c>
      <c r="J514" s="85">
        <v>48406.43</v>
      </c>
      <c r="K514" s="85">
        <v>48615.14</v>
      </c>
      <c r="L514" s="85">
        <v>48196.18</v>
      </c>
      <c r="M514" s="85">
        <v>48218.49</v>
      </c>
      <c r="N514" s="123">
        <v>132257744</v>
      </c>
      <c r="O514" s="112">
        <f t="shared" si="15"/>
        <v>-2.2213788730831574E-3</v>
      </c>
    </row>
    <row r="515" spans="1:15">
      <c r="A515" s="105">
        <v>45155</v>
      </c>
      <c r="B515" s="85">
        <v>100.2</v>
      </c>
      <c r="C515" s="85">
        <v>101.8</v>
      </c>
      <c r="D515" s="85">
        <v>99.95</v>
      </c>
      <c r="E515" s="85">
        <v>101.33</v>
      </c>
      <c r="F515" s="85">
        <v>1319849</v>
      </c>
      <c r="G515" s="112">
        <f t="shared" si="14"/>
        <v>4.9368088467605098E-4</v>
      </c>
      <c r="I515" s="105">
        <v>45155</v>
      </c>
      <c r="J515" s="85">
        <v>47961.18</v>
      </c>
      <c r="K515" s="85">
        <v>48397.37</v>
      </c>
      <c r="L515" s="85">
        <v>47893.71</v>
      </c>
      <c r="M515" s="85">
        <v>48325.84</v>
      </c>
      <c r="N515" s="123">
        <v>101396353</v>
      </c>
      <c r="O515" s="112">
        <f t="shared" si="15"/>
        <v>3.7263406653409437E-3</v>
      </c>
    </row>
    <row r="516" spans="1:15">
      <c r="A516" s="105">
        <v>45154</v>
      </c>
      <c r="B516" s="85">
        <v>101.05</v>
      </c>
      <c r="C516" s="85">
        <v>102.5</v>
      </c>
      <c r="D516" s="85">
        <v>100.5</v>
      </c>
      <c r="E516" s="85">
        <v>101.28</v>
      </c>
      <c r="F516" s="85">
        <v>1007952</v>
      </c>
      <c r="G516" s="112">
        <f t="shared" ref="G516:G579" si="16">E516/E517-1</f>
        <v>-8.1284888845363223E-3</v>
      </c>
      <c r="I516" s="105">
        <v>45154</v>
      </c>
      <c r="J516" s="85">
        <v>48575.05</v>
      </c>
      <c r="K516" s="85">
        <v>48614.47</v>
      </c>
      <c r="L516" s="85">
        <v>48108.87</v>
      </c>
      <c r="M516" s="85">
        <v>48146.43</v>
      </c>
      <c r="N516" s="123">
        <v>104981376</v>
      </c>
      <c r="O516" s="112">
        <f t="shared" ref="O516:O579" si="17">M516/M517-1</f>
        <v>-8.6340682476848674E-3</v>
      </c>
    </row>
    <row r="517" spans="1:15">
      <c r="A517" s="105">
        <v>45153</v>
      </c>
      <c r="B517" s="85">
        <v>103</v>
      </c>
      <c r="C517" s="85">
        <v>103.45</v>
      </c>
      <c r="D517" s="85">
        <v>101.82</v>
      </c>
      <c r="E517" s="85">
        <v>102.11</v>
      </c>
      <c r="F517" s="85">
        <v>866453</v>
      </c>
      <c r="G517" s="112">
        <f t="shared" si="16"/>
        <v>-3.1240847407986161E-3</v>
      </c>
      <c r="I517" s="105">
        <v>45153</v>
      </c>
      <c r="J517" s="85">
        <v>48478.19</v>
      </c>
      <c r="K517" s="85">
        <v>48794.12</v>
      </c>
      <c r="L517" s="85">
        <v>48293.02</v>
      </c>
      <c r="M517" s="85">
        <v>48565.75</v>
      </c>
      <c r="N517" s="123">
        <v>123699038</v>
      </c>
      <c r="O517" s="112">
        <f t="shared" si="17"/>
        <v>2.9189829920452937E-3</v>
      </c>
    </row>
    <row r="518" spans="1:15">
      <c r="A518" s="105">
        <v>45149</v>
      </c>
      <c r="B518" s="85">
        <v>102</v>
      </c>
      <c r="C518" s="85">
        <v>105.5</v>
      </c>
      <c r="D518" s="85">
        <v>101.72</v>
      </c>
      <c r="E518" s="85">
        <v>102.43</v>
      </c>
      <c r="F518" s="85">
        <v>11415132</v>
      </c>
      <c r="G518" s="112">
        <f t="shared" si="16"/>
        <v>8.4670670473565579E-3</v>
      </c>
      <c r="I518" s="105">
        <v>45149</v>
      </c>
      <c r="J518" s="85">
        <v>47968.51</v>
      </c>
      <c r="K518" s="85">
        <v>48898.82</v>
      </c>
      <c r="L518" s="85">
        <v>47968.51</v>
      </c>
      <c r="M518" s="85">
        <v>48424.4</v>
      </c>
      <c r="N518" s="123">
        <v>242051343</v>
      </c>
      <c r="O518" s="112">
        <f t="shared" si="17"/>
        <v>1.2886036202051976E-2</v>
      </c>
    </row>
    <row r="519" spans="1:15">
      <c r="A519" s="105">
        <v>45148</v>
      </c>
      <c r="B519" s="85">
        <v>104</v>
      </c>
      <c r="C519" s="85">
        <v>104.2</v>
      </c>
      <c r="D519" s="85">
        <v>101</v>
      </c>
      <c r="E519" s="85">
        <v>101.57</v>
      </c>
      <c r="F519" s="85">
        <v>2293921</v>
      </c>
      <c r="G519" s="112">
        <f t="shared" si="16"/>
        <v>-1.6556932610379604E-2</v>
      </c>
      <c r="I519" s="105">
        <v>45148</v>
      </c>
      <c r="J519" s="85">
        <v>48503.9</v>
      </c>
      <c r="K519" s="85">
        <v>48622.9</v>
      </c>
      <c r="L519" s="85">
        <v>47626.74</v>
      </c>
      <c r="M519" s="85">
        <v>47808.34</v>
      </c>
      <c r="N519" s="123">
        <v>175252024</v>
      </c>
      <c r="O519" s="112">
        <f t="shared" si="17"/>
        <v>-8.693362307060748E-3</v>
      </c>
    </row>
    <row r="520" spans="1:15">
      <c r="A520" s="105">
        <v>45147</v>
      </c>
      <c r="B520" s="85">
        <v>100.75</v>
      </c>
      <c r="C520" s="85">
        <v>104.3</v>
      </c>
      <c r="D520" s="85">
        <v>100</v>
      </c>
      <c r="E520" s="85">
        <v>103.28</v>
      </c>
      <c r="F520" s="85">
        <v>3628129</v>
      </c>
      <c r="G520" s="112">
        <f t="shared" si="16"/>
        <v>2.3486274898424364E-2</v>
      </c>
      <c r="I520" s="105">
        <v>45147</v>
      </c>
      <c r="J520" s="85">
        <v>47322.66</v>
      </c>
      <c r="K520" s="85">
        <v>48334.53</v>
      </c>
      <c r="L520" s="85">
        <v>47262.37</v>
      </c>
      <c r="M520" s="85">
        <v>48227.6</v>
      </c>
      <c r="N520" s="123">
        <v>183275562</v>
      </c>
      <c r="O520" s="112">
        <f t="shared" si="17"/>
        <v>1.682021985324833E-2</v>
      </c>
    </row>
    <row r="521" spans="1:15">
      <c r="A521" s="105">
        <v>45146</v>
      </c>
      <c r="B521" s="85">
        <v>103.03</v>
      </c>
      <c r="C521" s="85">
        <v>103.5</v>
      </c>
      <c r="D521" s="85">
        <v>100.26</v>
      </c>
      <c r="E521" s="85">
        <v>100.91</v>
      </c>
      <c r="F521" s="85">
        <v>2947084</v>
      </c>
      <c r="G521" s="112">
        <f t="shared" si="16"/>
        <v>-2.9058019821033509E-2</v>
      </c>
      <c r="I521" s="105">
        <v>45146</v>
      </c>
      <c r="J521" s="85">
        <v>48359.55</v>
      </c>
      <c r="K521" s="85">
        <v>48415.46</v>
      </c>
      <c r="L521" s="85">
        <v>47335.32</v>
      </c>
      <c r="M521" s="85">
        <v>47429.82</v>
      </c>
      <c r="N521" s="123">
        <v>197511127</v>
      </c>
      <c r="O521" s="112">
        <f t="shared" si="17"/>
        <v>-1.9766565914903556E-2</v>
      </c>
    </row>
    <row r="522" spans="1:15">
      <c r="A522" s="105">
        <v>45145</v>
      </c>
      <c r="B522" s="85">
        <v>104</v>
      </c>
      <c r="C522" s="85">
        <v>105.7</v>
      </c>
      <c r="D522" s="85">
        <v>103.1</v>
      </c>
      <c r="E522" s="85">
        <v>103.93</v>
      </c>
      <c r="F522" s="85">
        <v>3719995</v>
      </c>
      <c r="G522" s="112">
        <f t="shared" si="16"/>
        <v>-3.6429872495445936E-3</v>
      </c>
      <c r="I522" s="105">
        <v>45145</v>
      </c>
      <c r="J522" s="85">
        <v>48716.46</v>
      </c>
      <c r="K522" s="85">
        <v>49034.92</v>
      </c>
      <c r="L522" s="85">
        <v>48276.54</v>
      </c>
      <c r="M522" s="85">
        <v>48386.25</v>
      </c>
      <c r="N522" s="123">
        <v>232034005</v>
      </c>
      <c r="O522" s="112">
        <f t="shared" si="17"/>
        <v>-4.1053223262560445E-3</v>
      </c>
    </row>
    <row r="523" spans="1:15">
      <c r="A523" s="105">
        <v>45142</v>
      </c>
      <c r="B523" s="85">
        <v>104</v>
      </c>
      <c r="C523" s="85">
        <v>104.89</v>
      </c>
      <c r="D523" s="85">
        <v>102.2</v>
      </c>
      <c r="E523" s="85">
        <v>104.31</v>
      </c>
      <c r="F523" s="85">
        <v>4067599</v>
      </c>
      <c r="G523" s="112">
        <f t="shared" si="16"/>
        <v>-8.8369441277080796E-3</v>
      </c>
      <c r="I523" s="105">
        <v>45142</v>
      </c>
      <c r="J523" s="85">
        <v>48584.59</v>
      </c>
      <c r="K523" s="85">
        <v>48840.27</v>
      </c>
      <c r="L523" s="85">
        <v>48427.99</v>
      </c>
      <c r="M523" s="85">
        <v>48585.71</v>
      </c>
      <c r="N523" s="123">
        <v>210396471</v>
      </c>
      <c r="O523" s="112">
        <f t="shared" si="17"/>
        <v>-5.2395354319734189E-4</v>
      </c>
    </row>
    <row r="524" spans="1:15">
      <c r="A524" s="105">
        <v>45141</v>
      </c>
      <c r="B524" s="85">
        <v>104.98</v>
      </c>
      <c r="C524" s="85">
        <v>107.8</v>
      </c>
      <c r="D524" s="85">
        <v>104.6</v>
      </c>
      <c r="E524" s="85">
        <v>105.24</v>
      </c>
      <c r="F524" s="85">
        <v>12084315</v>
      </c>
      <c r="G524" s="112">
        <f t="shared" si="16"/>
        <v>2.974559686888445E-2</v>
      </c>
      <c r="I524" s="105">
        <v>45141</v>
      </c>
      <c r="J524" s="85">
        <v>48993.33</v>
      </c>
      <c r="K524" s="85">
        <v>49404.5</v>
      </c>
      <c r="L524" s="85">
        <v>48541.34</v>
      </c>
      <c r="M524" s="85">
        <v>48611.18</v>
      </c>
      <c r="N524" s="123">
        <v>289325455</v>
      </c>
      <c r="O524" s="112">
        <f t="shared" si="17"/>
        <v>-3.1451125869099705E-3</v>
      </c>
    </row>
    <row r="525" spans="1:15">
      <c r="A525" s="105">
        <v>45140</v>
      </c>
      <c r="B525" s="85">
        <v>96.5</v>
      </c>
      <c r="C525" s="85">
        <v>103.9</v>
      </c>
      <c r="D525" s="85">
        <v>95.52</v>
      </c>
      <c r="E525" s="85">
        <v>102.2</v>
      </c>
      <c r="F525" s="85">
        <v>18677605</v>
      </c>
      <c r="G525" s="112">
        <f t="shared" si="16"/>
        <v>5.7423693740300097E-2</v>
      </c>
      <c r="I525" s="105">
        <v>45140</v>
      </c>
      <c r="J525" s="85">
        <v>48277.82</v>
      </c>
      <c r="K525" s="85">
        <v>48852.05</v>
      </c>
      <c r="L525" s="85">
        <v>48178.879999999997</v>
      </c>
      <c r="M525" s="85">
        <v>48764.55</v>
      </c>
      <c r="N525" s="123">
        <v>365630667</v>
      </c>
      <c r="O525" s="112">
        <f t="shared" si="17"/>
        <v>1.1072868827816551E-2</v>
      </c>
    </row>
    <row r="526" spans="1:15">
      <c r="A526" s="105">
        <v>45139</v>
      </c>
      <c r="B526" s="85">
        <v>96.94</v>
      </c>
      <c r="C526" s="85">
        <v>98</v>
      </c>
      <c r="D526" s="85">
        <v>95.01</v>
      </c>
      <c r="E526" s="85">
        <v>96.65</v>
      </c>
      <c r="F526" s="85">
        <v>6095517</v>
      </c>
      <c r="G526" s="112">
        <f t="shared" si="16"/>
        <v>-6.2718486530948248E-3</v>
      </c>
      <c r="I526" s="105">
        <v>45139</v>
      </c>
      <c r="J526" s="85">
        <v>48326.51</v>
      </c>
      <c r="K526" s="85">
        <v>48441.84</v>
      </c>
      <c r="L526" s="85">
        <v>47998.26</v>
      </c>
      <c r="M526" s="85">
        <v>48230.5</v>
      </c>
      <c r="N526" s="123">
        <v>274242037</v>
      </c>
      <c r="O526" s="112">
        <f t="shared" si="17"/>
        <v>4.0785192503984824E-3</v>
      </c>
    </row>
    <row r="527" spans="1:15">
      <c r="A527" s="105">
        <v>45138</v>
      </c>
      <c r="B527" s="85">
        <v>91.5</v>
      </c>
      <c r="C527" s="85">
        <v>97.58</v>
      </c>
      <c r="D527" s="85">
        <v>91.5</v>
      </c>
      <c r="E527" s="85">
        <v>97.26</v>
      </c>
      <c r="F527" s="85">
        <v>14673538</v>
      </c>
      <c r="G527" s="112">
        <f t="shared" si="16"/>
        <v>7.1499394072931599E-2</v>
      </c>
      <c r="I527" s="105">
        <v>45138</v>
      </c>
      <c r="J527" s="85">
        <v>47372.54</v>
      </c>
      <c r="K527" s="85">
        <v>48126.5</v>
      </c>
      <c r="L527" s="85">
        <v>47372.54</v>
      </c>
      <c r="M527" s="85">
        <v>48034.59</v>
      </c>
      <c r="N527" s="123">
        <v>315676643</v>
      </c>
      <c r="O527" s="112">
        <f t="shared" si="17"/>
        <v>2.0341147554250982E-2</v>
      </c>
    </row>
    <row r="528" spans="1:15">
      <c r="A528" s="105">
        <v>45134</v>
      </c>
      <c r="B528" s="85">
        <v>84.5</v>
      </c>
      <c r="C528" s="85">
        <v>91.29</v>
      </c>
      <c r="D528" s="85">
        <v>84.5</v>
      </c>
      <c r="E528" s="85">
        <v>90.77</v>
      </c>
      <c r="F528" s="85">
        <v>11869542</v>
      </c>
      <c r="G528" s="112">
        <f t="shared" si="16"/>
        <v>6.8888365520489714E-2</v>
      </c>
      <c r="I528" s="105">
        <v>45134</v>
      </c>
      <c r="J528" s="85">
        <v>46779.75</v>
      </c>
      <c r="K528" s="85">
        <v>47393.47</v>
      </c>
      <c r="L528" s="85">
        <v>46779.74</v>
      </c>
      <c r="M528" s="85">
        <v>47076.99</v>
      </c>
      <c r="N528" s="123">
        <v>254322335</v>
      </c>
      <c r="O528" s="112">
        <f t="shared" si="17"/>
        <v>8.450057966022495E-3</v>
      </c>
    </row>
    <row r="529" spans="1:15">
      <c r="A529" s="105">
        <v>45133</v>
      </c>
      <c r="B529" s="85">
        <v>86.49</v>
      </c>
      <c r="C529" s="85">
        <v>87</v>
      </c>
      <c r="D529" s="85">
        <v>82.12</v>
      </c>
      <c r="E529" s="85">
        <v>84.92</v>
      </c>
      <c r="F529" s="85">
        <v>10322599</v>
      </c>
      <c r="G529" s="112">
        <f t="shared" si="16"/>
        <v>-5.9697998361232241E-3</v>
      </c>
      <c r="I529" s="105">
        <v>45133</v>
      </c>
      <c r="J529" s="85">
        <v>46531.519999999997</v>
      </c>
      <c r="K529" s="85">
        <v>46724.57</v>
      </c>
      <c r="L529" s="85">
        <v>46499.360000000001</v>
      </c>
      <c r="M529" s="85">
        <v>46682.52</v>
      </c>
      <c r="N529" s="123">
        <v>243056307</v>
      </c>
      <c r="O529" s="112">
        <f t="shared" si="17"/>
        <v>5.7129512376195013E-3</v>
      </c>
    </row>
    <row r="530" spans="1:15">
      <c r="A530" s="105">
        <v>45132</v>
      </c>
      <c r="B530" s="85">
        <v>79.099999999999994</v>
      </c>
      <c r="C530" s="85">
        <v>85.43</v>
      </c>
      <c r="D530" s="85">
        <v>79.099999999999994</v>
      </c>
      <c r="E530" s="85">
        <v>85.43</v>
      </c>
      <c r="F530" s="85">
        <v>12648864</v>
      </c>
      <c r="G530" s="112">
        <f t="shared" si="16"/>
        <v>7.4996854158802195E-2</v>
      </c>
      <c r="I530" s="105">
        <v>45132</v>
      </c>
      <c r="J530" s="85">
        <v>46063.6</v>
      </c>
      <c r="K530" s="85">
        <v>46540.87</v>
      </c>
      <c r="L530" s="85">
        <v>46019.63</v>
      </c>
      <c r="M530" s="85">
        <v>46417.34</v>
      </c>
      <c r="N530" s="123">
        <v>142842916</v>
      </c>
      <c r="O530" s="112">
        <f t="shared" si="17"/>
        <v>7.8717076457377466E-3</v>
      </c>
    </row>
    <row r="531" spans="1:15">
      <c r="A531" s="105">
        <v>45131</v>
      </c>
      <c r="B531" s="85">
        <v>79.89</v>
      </c>
      <c r="C531" s="85">
        <v>79.98</v>
      </c>
      <c r="D531" s="85">
        <v>79.06</v>
      </c>
      <c r="E531" s="85">
        <v>79.47</v>
      </c>
      <c r="F531" s="85">
        <v>2161744</v>
      </c>
      <c r="G531" s="112">
        <f t="shared" si="16"/>
        <v>5.3130929791271875E-3</v>
      </c>
      <c r="I531" s="105">
        <v>45131</v>
      </c>
      <c r="J531" s="85">
        <v>46070.67</v>
      </c>
      <c r="K531" s="85">
        <v>46195.7</v>
      </c>
      <c r="L531" s="85">
        <v>45872.67</v>
      </c>
      <c r="M531" s="85">
        <v>46054.81</v>
      </c>
      <c r="N531" s="123">
        <v>154049551</v>
      </c>
      <c r="O531" s="112">
        <f t="shared" si="17"/>
        <v>2.9198142102704328E-3</v>
      </c>
    </row>
    <row r="532" spans="1:15">
      <c r="A532" s="105">
        <v>45128</v>
      </c>
      <c r="B532" s="85">
        <v>78.39</v>
      </c>
      <c r="C532" s="85">
        <v>79.75</v>
      </c>
      <c r="D532" s="85">
        <v>78.040000000000006</v>
      </c>
      <c r="E532" s="85">
        <v>79.05</v>
      </c>
      <c r="F532" s="85">
        <v>8255291</v>
      </c>
      <c r="G532" s="112">
        <f t="shared" si="16"/>
        <v>1.3071895424836555E-2</v>
      </c>
      <c r="I532" s="105">
        <v>45128</v>
      </c>
      <c r="J532" s="85">
        <v>45392.37</v>
      </c>
      <c r="K532" s="85">
        <v>46122.16</v>
      </c>
      <c r="L532" s="85">
        <v>45391.55</v>
      </c>
      <c r="M532" s="85">
        <v>45920.73</v>
      </c>
      <c r="N532" s="123">
        <v>205835373</v>
      </c>
      <c r="O532" s="112">
        <f t="shared" si="17"/>
        <v>1.1507476820172613E-2</v>
      </c>
    </row>
    <row r="533" spans="1:15">
      <c r="A533" s="105">
        <v>45127</v>
      </c>
      <c r="B533" s="85">
        <v>78.44</v>
      </c>
      <c r="C533" s="85">
        <v>79.400000000000006</v>
      </c>
      <c r="D533" s="85">
        <v>77.849999999999994</v>
      </c>
      <c r="E533" s="85">
        <v>78.03</v>
      </c>
      <c r="F533" s="85">
        <v>3842743</v>
      </c>
      <c r="G533" s="112">
        <f t="shared" si="16"/>
        <v>-6.4036885245899455E-4</v>
      </c>
      <c r="I533" s="105">
        <v>45127</v>
      </c>
      <c r="J533" s="85">
        <v>45079.61</v>
      </c>
      <c r="K533" s="85">
        <v>45451.64</v>
      </c>
      <c r="L533" s="85">
        <v>45067.95</v>
      </c>
      <c r="M533" s="85">
        <v>45398.31</v>
      </c>
      <c r="N533" s="123">
        <v>157393880</v>
      </c>
      <c r="O533" s="112">
        <f t="shared" si="17"/>
        <v>6.723567145085152E-3</v>
      </c>
    </row>
    <row r="534" spans="1:15">
      <c r="A534" s="105">
        <v>45126</v>
      </c>
      <c r="B534" s="85">
        <v>78.680000000000007</v>
      </c>
      <c r="C534" s="85">
        <v>79.11</v>
      </c>
      <c r="D534" s="85">
        <v>77.7</v>
      </c>
      <c r="E534" s="85">
        <v>78.08</v>
      </c>
      <c r="F534" s="85">
        <v>3659248</v>
      </c>
      <c r="G534" s="112">
        <f t="shared" si="16"/>
        <v>0</v>
      </c>
      <c r="I534" s="105">
        <v>45126</v>
      </c>
      <c r="J534" s="85">
        <v>45101.57</v>
      </c>
      <c r="K534" s="85">
        <v>45227.49</v>
      </c>
      <c r="L534" s="85">
        <v>44928.02</v>
      </c>
      <c r="M534" s="85">
        <v>45095.11</v>
      </c>
      <c r="N534" s="123">
        <v>125855052</v>
      </c>
      <c r="O534" s="112">
        <f t="shared" si="17"/>
        <v>1.9058270807408295E-3</v>
      </c>
    </row>
    <row r="535" spans="1:15">
      <c r="A535" s="105">
        <v>45125</v>
      </c>
      <c r="B535" s="85">
        <v>78.599999999999994</v>
      </c>
      <c r="C535" s="85">
        <v>78.95</v>
      </c>
      <c r="D535" s="85">
        <v>77.14</v>
      </c>
      <c r="E535" s="85">
        <v>78.08</v>
      </c>
      <c r="F535" s="85">
        <v>5530864</v>
      </c>
      <c r="G535" s="112">
        <f t="shared" si="16"/>
        <v>-4.2086468562683166E-3</v>
      </c>
      <c r="I535" s="105">
        <v>45125</v>
      </c>
      <c r="J535" s="85">
        <v>45157.5</v>
      </c>
      <c r="K535" s="85">
        <v>45240.21</v>
      </c>
      <c r="L535" s="85">
        <v>44848.39</v>
      </c>
      <c r="M535" s="85">
        <v>45009.33</v>
      </c>
      <c r="N535" s="123">
        <v>125417665</v>
      </c>
      <c r="O535" s="112">
        <f t="shared" si="17"/>
        <v>-7.3885594107447883E-4</v>
      </c>
    </row>
    <row r="536" spans="1:15">
      <c r="A536" s="105">
        <v>45124</v>
      </c>
      <c r="B536" s="85">
        <v>78.41</v>
      </c>
      <c r="C536" s="85">
        <v>79.69</v>
      </c>
      <c r="D536" s="85">
        <v>78.040000000000006</v>
      </c>
      <c r="E536" s="85">
        <v>78.41</v>
      </c>
      <c r="F536" s="85">
        <v>3165527</v>
      </c>
      <c r="G536" s="112">
        <f t="shared" si="16"/>
        <v>0</v>
      </c>
      <c r="I536" s="105">
        <v>45124</v>
      </c>
      <c r="J536" s="85">
        <v>45114.91</v>
      </c>
      <c r="K536" s="85">
        <v>45283.3</v>
      </c>
      <c r="L536" s="85">
        <v>45013.98</v>
      </c>
      <c r="M536" s="85">
        <v>45042.61</v>
      </c>
      <c r="N536" s="123">
        <v>148647059</v>
      </c>
      <c r="O536" s="112">
        <f t="shared" si="17"/>
        <v>-5.6292738214591687E-4</v>
      </c>
    </row>
    <row r="537" spans="1:15">
      <c r="A537" s="105">
        <v>45121</v>
      </c>
      <c r="B537" s="85">
        <v>80</v>
      </c>
      <c r="C537" s="85">
        <v>80</v>
      </c>
      <c r="D537" s="85">
        <v>78.3</v>
      </c>
      <c r="E537" s="85">
        <v>78.41</v>
      </c>
      <c r="F537" s="85">
        <v>3772721</v>
      </c>
      <c r="G537" s="112">
        <f t="shared" si="16"/>
        <v>-1.2592872434202262E-2</v>
      </c>
      <c r="I537" s="105">
        <v>45121</v>
      </c>
      <c r="J537" s="85">
        <v>45289.440000000002</v>
      </c>
      <c r="K537" s="85">
        <v>45488.45</v>
      </c>
      <c r="L537" s="85">
        <v>45043.17</v>
      </c>
      <c r="M537" s="85">
        <v>45067.98</v>
      </c>
      <c r="N537" s="123">
        <v>112884945</v>
      </c>
      <c r="O537" s="112">
        <f t="shared" si="17"/>
        <v>-4.3957005285973905E-3</v>
      </c>
    </row>
    <row r="538" spans="1:15">
      <c r="A538" s="105">
        <v>45120</v>
      </c>
      <c r="B538" s="85">
        <v>80.44</v>
      </c>
      <c r="C538" s="85">
        <v>81.25</v>
      </c>
      <c r="D538" s="85">
        <v>78.900000000000006</v>
      </c>
      <c r="E538" s="85">
        <v>79.41</v>
      </c>
      <c r="F538" s="85">
        <v>4784952</v>
      </c>
      <c r="G538" s="112">
        <f t="shared" si="16"/>
        <v>-6.1326658322904404E-3</v>
      </c>
      <c r="I538" s="105">
        <v>45120</v>
      </c>
      <c r="J538" s="85">
        <v>45808.98</v>
      </c>
      <c r="K538" s="85">
        <v>45970.99</v>
      </c>
      <c r="L538" s="85">
        <v>45255.58</v>
      </c>
      <c r="M538" s="85">
        <v>45266.96</v>
      </c>
      <c r="N538" s="123">
        <v>225216885</v>
      </c>
      <c r="O538" s="112">
        <f t="shared" si="17"/>
        <v>-5.448539435943478E-3</v>
      </c>
    </row>
    <row r="539" spans="1:15">
      <c r="A539" s="105">
        <v>45119</v>
      </c>
      <c r="B539" s="85">
        <v>79.5</v>
      </c>
      <c r="C539" s="85">
        <v>80.8</v>
      </c>
      <c r="D539" s="85">
        <v>79.150000000000006</v>
      </c>
      <c r="E539" s="85">
        <v>79.900000000000006</v>
      </c>
      <c r="F539" s="85">
        <v>3194172</v>
      </c>
      <c r="G539" s="112">
        <f t="shared" si="16"/>
        <v>7.0582304008066643E-3</v>
      </c>
      <c r="I539" s="105">
        <v>45119</v>
      </c>
      <c r="J539" s="85">
        <v>45297.24</v>
      </c>
      <c r="K539" s="85">
        <v>45582.3</v>
      </c>
      <c r="L539" s="85">
        <v>45200.35</v>
      </c>
      <c r="M539" s="85">
        <v>45514.95</v>
      </c>
      <c r="N539" s="123">
        <v>206704768</v>
      </c>
      <c r="O539" s="112">
        <f t="shared" si="17"/>
        <v>7.9537972871253082E-3</v>
      </c>
    </row>
    <row r="540" spans="1:15">
      <c r="A540" s="105">
        <v>45118</v>
      </c>
      <c r="B540" s="85">
        <v>78.400000000000006</v>
      </c>
      <c r="C540" s="85">
        <v>79.900000000000006</v>
      </c>
      <c r="D540" s="85">
        <v>77.849999999999994</v>
      </c>
      <c r="E540" s="85">
        <v>79.34</v>
      </c>
      <c r="F540" s="85">
        <v>3957277</v>
      </c>
      <c r="G540" s="112">
        <f t="shared" si="16"/>
        <v>1.5097236438075923E-2</v>
      </c>
      <c r="I540" s="105">
        <v>45118</v>
      </c>
      <c r="J540" s="85">
        <v>44691.46</v>
      </c>
      <c r="K540" s="85">
        <v>45250.48</v>
      </c>
      <c r="L540" s="85">
        <v>44691.46</v>
      </c>
      <c r="M540" s="85">
        <v>45155.79</v>
      </c>
      <c r="N540" s="123">
        <v>248170894</v>
      </c>
      <c r="O540" s="112">
        <f t="shared" si="17"/>
        <v>1.2799561826905448E-2</v>
      </c>
    </row>
    <row r="541" spans="1:15">
      <c r="A541" s="105">
        <v>45117</v>
      </c>
      <c r="B541" s="85">
        <v>79.010000000000005</v>
      </c>
      <c r="C541" s="85">
        <v>79.400000000000006</v>
      </c>
      <c r="D541" s="85">
        <v>77.86</v>
      </c>
      <c r="E541" s="85">
        <v>78.16</v>
      </c>
      <c r="F541" s="85">
        <v>1306297</v>
      </c>
      <c r="G541" s="112">
        <f t="shared" si="16"/>
        <v>-1.125869702719795E-2</v>
      </c>
      <c r="I541" s="105">
        <v>45117</v>
      </c>
      <c r="J541" s="85">
        <v>44275.02</v>
      </c>
      <c r="K541" s="85">
        <v>44601.78</v>
      </c>
      <c r="L541" s="85">
        <v>44260.1</v>
      </c>
      <c r="M541" s="85">
        <v>44585.120000000003</v>
      </c>
      <c r="N541" s="123">
        <v>183245879</v>
      </c>
      <c r="O541" s="112">
        <f t="shared" si="17"/>
        <v>8.5463241260326228E-3</v>
      </c>
    </row>
    <row r="542" spans="1:15">
      <c r="A542" s="105">
        <v>45114</v>
      </c>
      <c r="B542" s="85">
        <v>79.16</v>
      </c>
      <c r="C542" s="85">
        <v>79.7</v>
      </c>
      <c r="D542" s="85">
        <v>78.33</v>
      </c>
      <c r="E542" s="85">
        <v>79.05</v>
      </c>
      <c r="F542" s="85">
        <v>1098658</v>
      </c>
      <c r="G542" s="112">
        <f t="shared" si="16"/>
        <v>-1.1372251705837888E-3</v>
      </c>
      <c r="I542" s="105">
        <v>45114</v>
      </c>
      <c r="J542" s="85">
        <v>44179.14</v>
      </c>
      <c r="K542" s="85">
        <v>44293.51</v>
      </c>
      <c r="L542" s="85">
        <v>44086.74</v>
      </c>
      <c r="M542" s="85">
        <v>44207.31</v>
      </c>
      <c r="N542" s="123">
        <v>115725141</v>
      </c>
      <c r="O542" s="112">
        <f t="shared" si="17"/>
        <v>6.4419965662310119E-4</v>
      </c>
    </row>
    <row r="543" spans="1:15">
      <c r="A543" s="105">
        <v>45113</v>
      </c>
      <c r="B543" s="85">
        <v>78.900000000000006</v>
      </c>
      <c r="C543" s="85">
        <v>79.290000000000006</v>
      </c>
      <c r="D543" s="85">
        <v>77.62</v>
      </c>
      <c r="E543" s="85">
        <v>79.14</v>
      </c>
      <c r="F543" s="85">
        <v>2958196</v>
      </c>
      <c r="G543" s="112">
        <f t="shared" si="16"/>
        <v>1.7354415734670114E-2</v>
      </c>
      <c r="I543" s="105">
        <v>45113</v>
      </c>
      <c r="J543" s="85">
        <v>43691.55</v>
      </c>
      <c r="K543" s="85">
        <v>44212.77</v>
      </c>
      <c r="L543" s="85">
        <v>43550.14</v>
      </c>
      <c r="M543" s="85">
        <v>44178.85</v>
      </c>
      <c r="N543" s="123">
        <v>166226008</v>
      </c>
      <c r="O543" s="112">
        <f t="shared" si="17"/>
        <v>1.4373807626278268E-2</v>
      </c>
    </row>
    <row r="544" spans="1:15">
      <c r="A544" s="105">
        <v>45112</v>
      </c>
      <c r="B544" s="85">
        <v>77.349999999999994</v>
      </c>
      <c r="C544" s="85">
        <v>78.48</v>
      </c>
      <c r="D544" s="85">
        <v>76.5</v>
      </c>
      <c r="E544" s="85">
        <v>77.790000000000006</v>
      </c>
      <c r="F544" s="85">
        <v>1703209</v>
      </c>
      <c r="G544" s="112">
        <f t="shared" si="16"/>
        <v>1.3154467309195228E-2</v>
      </c>
      <c r="I544" s="105">
        <v>45112</v>
      </c>
      <c r="J544" s="85">
        <v>43536.6</v>
      </c>
      <c r="K544" s="85">
        <v>44041.26</v>
      </c>
      <c r="L544" s="85">
        <v>43464.06</v>
      </c>
      <c r="M544" s="85">
        <v>43552.83</v>
      </c>
      <c r="N544" s="123">
        <v>181239464</v>
      </c>
      <c r="O544" s="112">
        <f t="shared" si="17"/>
        <v>-9.5966183170093089E-5</v>
      </c>
    </row>
    <row r="545" spans="1:15">
      <c r="A545" s="105">
        <v>45111</v>
      </c>
      <c r="B545" s="85">
        <v>79.7</v>
      </c>
      <c r="C545" s="85">
        <v>79.7</v>
      </c>
      <c r="D545" s="85">
        <v>76.62</v>
      </c>
      <c r="E545" s="85">
        <v>76.78</v>
      </c>
      <c r="F545" s="85">
        <v>2601726</v>
      </c>
      <c r="G545" s="112">
        <f t="shared" si="16"/>
        <v>-2.3527915553859802E-2</v>
      </c>
      <c r="I545" s="105">
        <v>45111</v>
      </c>
      <c r="J545" s="85">
        <v>44511.519999999997</v>
      </c>
      <c r="K545" s="85">
        <v>44511.519999999997</v>
      </c>
      <c r="L545" s="85">
        <v>43488.37</v>
      </c>
      <c r="M545" s="85">
        <v>43557.01</v>
      </c>
      <c r="N545" s="123">
        <v>245524380</v>
      </c>
      <c r="O545" s="112">
        <f t="shared" si="17"/>
        <v>-7.7903824688488887E-3</v>
      </c>
    </row>
    <row r="546" spans="1:15">
      <c r="A546" s="105">
        <v>45110</v>
      </c>
      <c r="B546" s="85">
        <v>78.5</v>
      </c>
      <c r="C546" s="85">
        <v>78.72</v>
      </c>
      <c r="D546" s="85">
        <v>76.75</v>
      </c>
      <c r="E546" s="85">
        <v>78.63</v>
      </c>
      <c r="F546" s="85">
        <v>6303547</v>
      </c>
      <c r="G546" s="112">
        <f t="shared" si="16"/>
        <v>7.3740270380991291E-2</v>
      </c>
      <c r="I546" s="105">
        <v>45110</v>
      </c>
      <c r="J546" s="85">
        <v>43683.78</v>
      </c>
      <c r="K546" s="85">
        <v>43933.94</v>
      </c>
      <c r="L546" s="85">
        <v>43404.69</v>
      </c>
      <c r="M546" s="85">
        <v>43899</v>
      </c>
      <c r="N546" s="123">
        <v>169579716</v>
      </c>
      <c r="O546" s="112">
        <f t="shared" si="17"/>
        <v>5.9014760927399657E-2</v>
      </c>
    </row>
    <row r="547" spans="1:15">
      <c r="A547" s="105">
        <v>45104</v>
      </c>
      <c r="B547" s="85">
        <v>69.88</v>
      </c>
      <c r="C547" s="85">
        <v>74.2</v>
      </c>
      <c r="D547" s="85">
        <v>68.8</v>
      </c>
      <c r="E547" s="85">
        <v>73.23</v>
      </c>
      <c r="F547" s="85">
        <v>6688542</v>
      </c>
      <c r="G547" s="112">
        <f t="shared" si="16"/>
        <v>4.7190047190047046E-2</v>
      </c>
      <c r="I547" s="105">
        <v>45104</v>
      </c>
      <c r="J547" s="85">
        <v>41431.86</v>
      </c>
      <c r="K547" s="85">
        <v>41606.25</v>
      </c>
      <c r="L547" s="85">
        <v>41208.19</v>
      </c>
      <c r="M547" s="85">
        <v>41452.68</v>
      </c>
      <c r="N547" s="123">
        <v>138020803</v>
      </c>
      <c r="O547" s="112">
        <f t="shared" si="17"/>
        <v>3.7599156311629578E-4</v>
      </c>
    </row>
    <row r="548" spans="1:15">
      <c r="A548" s="105">
        <v>45103</v>
      </c>
      <c r="B548" s="85">
        <v>69.02</v>
      </c>
      <c r="C548" s="85">
        <v>70.489999999999995</v>
      </c>
      <c r="D548" s="85">
        <v>69.02</v>
      </c>
      <c r="E548" s="85">
        <v>69.930000000000007</v>
      </c>
      <c r="F548" s="85">
        <v>2341449</v>
      </c>
      <c r="G548" s="112">
        <f t="shared" si="16"/>
        <v>2.5817808420126154E-2</v>
      </c>
      <c r="I548" s="105">
        <v>45103</v>
      </c>
      <c r="J548" s="85">
        <v>40334.050000000003</v>
      </c>
      <c r="K548" s="85">
        <v>41491.870000000003</v>
      </c>
      <c r="L548" s="85">
        <v>40334.050000000003</v>
      </c>
      <c r="M548" s="85">
        <v>41437.1</v>
      </c>
      <c r="N548" s="123">
        <v>122322431</v>
      </c>
      <c r="O548" s="112">
        <f t="shared" si="17"/>
        <v>3.4238588385167024E-2</v>
      </c>
    </row>
    <row r="549" spans="1:15">
      <c r="A549" s="105">
        <v>45100</v>
      </c>
      <c r="B549" s="85">
        <v>68</v>
      </c>
      <c r="C549" s="85">
        <v>69.45</v>
      </c>
      <c r="D549" s="85">
        <v>66.599999999999994</v>
      </c>
      <c r="E549" s="85">
        <v>68.17</v>
      </c>
      <c r="F549" s="85">
        <v>1719662</v>
      </c>
      <c r="G549" s="112">
        <f t="shared" si="16"/>
        <v>4.716285924834196E-3</v>
      </c>
      <c r="I549" s="105">
        <v>45100</v>
      </c>
      <c r="J549" s="85">
        <v>40175.949999999997</v>
      </c>
      <c r="K549" s="85">
        <v>40235.57</v>
      </c>
      <c r="L549" s="85">
        <v>39894.42</v>
      </c>
      <c r="M549" s="85">
        <v>40065.32</v>
      </c>
      <c r="N549" s="123">
        <v>59550498</v>
      </c>
      <c r="O549" s="112">
        <f t="shared" si="17"/>
        <v>-2.1600391511766848E-3</v>
      </c>
    </row>
    <row r="550" spans="1:15">
      <c r="A550" s="105">
        <v>45099</v>
      </c>
      <c r="B550" s="85">
        <v>68.099999999999994</v>
      </c>
      <c r="C550" s="85">
        <v>69</v>
      </c>
      <c r="D550" s="85">
        <v>66.83</v>
      </c>
      <c r="E550" s="85">
        <v>67.849999999999994</v>
      </c>
      <c r="F550" s="85">
        <v>1688972</v>
      </c>
      <c r="G550" s="112">
        <f t="shared" si="16"/>
        <v>-3.6710719530103075E-3</v>
      </c>
      <c r="I550" s="105">
        <v>45099</v>
      </c>
      <c r="J550" s="85">
        <v>40231.160000000003</v>
      </c>
      <c r="K550" s="85">
        <v>40378.589999999997</v>
      </c>
      <c r="L550" s="85">
        <v>40091.379999999997</v>
      </c>
      <c r="M550" s="85">
        <v>40152.050000000003</v>
      </c>
      <c r="N550" s="123">
        <v>65604886</v>
      </c>
      <c r="O550" s="112">
        <f t="shared" si="17"/>
        <v>-1.7090663808443374E-3</v>
      </c>
    </row>
    <row r="551" spans="1:15">
      <c r="A551" s="105">
        <v>45098</v>
      </c>
      <c r="B551" s="85">
        <v>68.05</v>
      </c>
      <c r="C551" s="85">
        <v>68.739999999999995</v>
      </c>
      <c r="D551" s="85">
        <v>67.900000000000006</v>
      </c>
      <c r="E551" s="85">
        <v>68.099999999999994</v>
      </c>
      <c r="F551" s="85">
        <v>1615439</v>
      </c>
      <c r="G551" s="112">
        <f t="shared" si="16"/>
        <v>2.9377203290237297E-4</v>
      </c>
      <c r="I551" s="105">
        <v>45098</v>
      </c>
      <c r="J551" s="85">
        <v>40693.22</v>
      </c>
      <c r="K551" s="85">
        <v>40804.870000000003</v>
      </c>
      <c r="L551" s="85">
        <v>40191.24</v>
      </c>
      <c r="M551" s="85">
        <v>40220.79</v>
      </c>
      <c r="N551" s="123">
        <v>47517062</v>
      </c>
      <c r="O551" s="112">
        <f t="shared" si="17"/>
        <v>-1.0632417805019667E-2</v>
      </c>
    </row>
    <row r="552" spans="1:15">
      <c r="A552" s="105">
        <v>45097</v>
      </c>
      <c r="B552" s="85">
        <v>69</v>
      </c>
      <c r="C552" s="85">
        <v>69.47</v>
      </c>
      <c r="D552" s="85">
        <v>67.98</v>
      </c>
      <c r="E552" s="85">
        <v>68.08</v>
      </c>
      <c r="F552" s="85">
        <v>1338108</v>
      </c>
      <c r="G552" s="112">
        <f t="shared" si="16"/>
        <v>-6.8563092633114886E-3</v>
      </c>
      <c r="I552" s="105">
        <v>45097</v>
      </c>
      <c r="J552" s="85">
        <v>40638.86</v>
      </c>
      <c r="K552" s="85">
        <v>40739.97</v>
      </c>
      <c r="L552" s="85">
        <v>40507.18</v>
      </c>
      <c r="M552" s="85">
        <v>40653.03</v>
      </c>
      <c r="N552" s="123">
        <v>73767501</v>
      </c>
      <c r="O552" s="112">
        <f t="shared" si="17"/>
        <v>7.8333461755564215E-4</v>
      </c>
    </row>
    <row r="553" spans="1:15">
      <c r="A553" s="105">
        <v>45096</v>
      </c>
      <c r="B553" s="85">
        <v>68.489999999999995</v>
      </c>
      <c r="C553" s="85">
        <v>69.400000000000006</v>
      </c>
      <c r="D553" s="85">
        <v>67.900000000000006</v>
      </c>
      <c r="E553" s="85">
        <v>68.55</v>
      </c>
      <c r="F553" s="85">
        <v>4276332</v>
      </c>
      <c r="G553" s="112">
        <f t="shared" si="16"/>
        <v>8.7604029785381954E-4</v>
      </c>
      <c r="I553" s="105">
        <v>45096</v>
      </c>
      <c r="J553" s="85">
        <v>41411.760000000002</v>
      </c>
      <c r="K553" s="85">
        <v>41484.32</v>
      </c>
      <c r="L553" s="85">
        <v>41610.269999999997</v>
      </c>
      <c r="M553" s="85">
        <v>40621.21</v>
      </c>
      <c r="N553" s="123">
        <v>93209138</v>
      </c>
      <c r="O553" s="112">
        <f t="shared" si="17"/>
        <v>-1.6466313764049501E-2</v>
      </c>
    </row>
    <row r="554" spans="1:15">
      <c r="A554" s="105">
        <v>45093</v>
      </c>
      <c r="B554" s="85">
        <v>68.25</v>
      </c>
      <c r="C554" s="85">
        <v>69.69</v>
      </c>
      <c r="D554" s="85">
        <v>68.099999999999994</v>
      </c>
      <c r="E554" s="85">
        <v>68.489999999999995</v>
      </c>
      <c r="F554" s="85">
        <v>788930</v>
      </c>
      <c r="G554" s="112">
        <f t="shared" si="16"/>
        <v>-5.0842533410808688E-3</v>
      </c>
      <c r="I554" s="105">
        <v>45093</v>
      </c>
      <c r="J554" s="85">
        <v>41462.22</v>
      </c>
      <c r="K554" s="85">
        <v>41612.67</v>
      </c>
      <c r="L554" s="85">
        <v>41280.160000000003</v>
      </c>
      <c r="M554" s="85">
        <v>41301.29</v>
      </c>
      <c r="N554" s="123">
        <v>60077517</v>
      </c>
      <c r="O554" s="112">
        <f t="shared" si="17"/>
        <v>-1.640594104400539E-3</v>
      </c>
    </row>
    <row r="555" spans="1:15">
      <c r="A555" s="105">
        <v>45092</v>
      </c>
      <c r="B555" s="85">
        <v>67.67</v>
      </c>
      <c r="C555" s="85">
        <v>69.25</v>
      </c>
      <c r="D555" s="85">
        <v>67.5</v>
      </c>
      <c r="E555" s="85">
        <v>68.84</v>
      </c>
      <c r="F555" s="85">
        <v>737148</v>
      </c>
      <c r="G555" s="112">
        <f t="shared" si="16"/>
        <v>4.8168150634944062E-3</v>
      </c>
      <c r="I555" s="105">
        <v>45092</v>
      </c>
      <c r="J555" s="85">
        <v>41631.57</v>
      </c>
      <c r="K555" s="85">
        <v>41639.33</v>
      </c>
      <c r="L555" s="85">
        <v>41269.120000000003</v>
      </c>
      <c r="M555" s="85">
        <v>41369.160000000003</v>
      </c>
      <c r="N555" s="123">
        <v>44870622</v>
      </c>
      <c r="O555" s="112">
        <f t="shared" si="17"/>
        <v>-3.4995052323961717E-3</v>
      </c>
    </row>
    <row r="556" spans="1:15">
      <c r="A556" s="105">
        <v>45091</v>
      </c>
      <c r="B556" s="85">
        <v>68.33</v>
      </c>
      <c r="C556" s="85">
        <v>69.900000000000006</v>
      </c>
      <c r="D556" s="85">
        <v>67.709999999999994</v>
      </c>
      <c r="E556" s="85">
        <v>68.510000000000005</v>
      </c>
      <c r="F556" s="85">
        <v>2204042</v>
      </c>
      <c r="G556" s="112">
        <f t="shared" si="16"/>
        <v>1.256281407035198E-2</v>
      </c>
      <c r="I556" s="105">
        <v>45091</v>
      </c>
      <c r="J556" s="85">
        <v>41594.97</v>
      </c>
      <c r="K556" s="85">
        <v>41744.43</v>
      </c>
      <c r="L556" s="85">
        <v>41448.61</v>
      </c>
      <c r="M556" s="85">
        <v>41514.44</v>
      </c>
      <c r="N556" s="123">
        <v>40598045</v>
      </c>
      <c r="O556" s="112">
        <f t="shared" si="17"/>
        <v>-5.8451488153699049E-4</v>
      </c>
    </row>
    <row r="557" spans="1:15">
      <c r="A557" s="105">
        <v>45090</v>
      </c>
      <c r="B557" s="85">
        <v>67.489999999999995</v>
      </c>
      <c r="C557" s="85">
        <v>68.19</v>
      </c>
      <c r="D557" s="85">
        <v>67.489999999999995</v>
      </c>
      <c r="E557" s="85">
        <v>67.66</v>
      </c>
      <c r="F557" s="85">
        <v>315133</v>
      </c>
      <c r="G557" s="112">
        <f t="shared" si="16"/>
        <v>5.9470710674991434E-3</v>
      </c>
      <c r="I557" s="105">
        <v>45090</v>
      </c>
      <c r="J557" s="85">
        <v>41887.599999999999</v>
      </c>
      <c r="K557" s="85">
        <v>42025.53</v>
      </c>
      <c r="L557" s="85">
        <v>41522.629999999997</v>
      </c>
      <c r="M557" s="85">
        <v>41538.720000000001</v>
      </c>
      <c r="N557" s="123">
        <v>61679101</v>
      </c>
      <c r="O557" s="112">
        <f t="shared" si="17"/>
        <v>-5.8444933958660128E-3</v>
      </c>
    </row>
    <row r="558" spans="1:15">
      <c r="A558" s="105">
        <v>45089</v>
      </c>
      <c r="B558" s="85">
        <v>69.7</v>
      </c>
      <c r="C558" s="85">
        <v>69.7</v>
      </c>
      <c r="D558" s="85">
        <v>66</v>
      </c>
      <c r="E558" s="85">
        <v>67.260000000000005</v>
      </c>
      <c r="F558" s="85">
        <v>3481955</v>
      </c>
      <c r="G558" s="112">
        <f t="shared" si="16"/>
        <v>-3.7079455977093612E-2</v>
      </c>
      <c r="I558" s="105">
        <v>45089</v>
      </c>
      <c r="J558" s="85">
        <v>41915.660000000003</v>
      </c>
      <c r="K558" s="85">
        <v>42029.14</v>
      </c>
      <c r="L558" s="85">
        <v>41715.31</v>
      </c>
      <c r="M558" s="85">
        <v>41782.92</v>
      </c>
      <c r="N558" s="123">
        <v>83268798</v>
      </c>
      <c r="O558" s="112">
        <f t="shared" si="17"/>
        <v>-2.8942206270492488E-3</v>
      </c>
    </row>
    <row r="559" spans="1:15">
      <c r="A559" s="105">
        <v>45086</v>
      </c>
      <c r="B559" s="85">
        <v>70.8</v>
      </c>
      <c r="C559" s="85">
        <v>70.8</v>
      </c>
      <c r="D559" s="85">
        <v>69.099999999999994</v>
      </c>
      <c r="E559" s="85">
        <v>69.849999999999994</v>
      </c>
      <c r="F559" s="85">
        <v>1121869</v>
      </c>
      <c r="G559" s="112">
        <f t="shared" si="16"/>
        <v>-9.3603744149767243E-3</v>
      </c>
      <c r="I559" s="105">
        <v>45086</v>
      </c>
      <c r="J559" s="85">
        <v>41735.08</v>
      </c>
      <c r="K559" s="85">
        <v>41931.82</v>
      </c>
      <c r="L559" s="85">
        <v>41677.14</v>
      </c>
      <c r="M559" s="85">
        <v>41904.199999999997</v>
      </c>
      <c r="N559" s="123">
        <v>78778532</v>
      </c>
      <c r="O559" s="112">
        <f t="shared" si="17"/>
        <v>5.2232787336703446E-3</v>
      </c>
    </row>
    <row r="560" spans="1:15">
      <c r="A560" s="105">
        <v>45085</v>
      </c>
      <c r="B560" s="85">
        <v>71.900000000000006</v>
      </c>
      <c r="C560" s="85">
        <v>72</v>
      </c>
      <c r="D560" s="85">
        <v>70.290000000000006</v>
      </c>
      <c r="E560" s="85">
        <v>70.510000000000005</v>
      </c>
      <c r="F560" s="85">
        <v>650557</v>
      </c>
      <c r="G560" s="112">
        <f t="shared" si="16"/>
        <v>-1.7145246724281971E-2</v>
      </c>
      <c r="I560" s="105">
        <v>45085</v>
      </c>
      <c r="J560" s="85">
        <v>42307.11</v>
      </c>
      <c r="K560" s="85">
        <v>42307.11</v>
      </c>
      <c r="L560" s="85">
        <v>41648.83</v>
      </c>
      <c r="M560" s="85">
        <v>41686.46</v>
      </c>
      <c r="N560" s="123">
        <v>101054090</v>
      </c>
      <c r="O560" s="112">
        <f t="shared" si="17"/>
        <v>-1.0826308986773725E-2</v>
      </c>
    </row>
    <row r="561" spans="1:15">
      <c r="A561" s="105">
        <v>45084</v>
      </c>
      <c r="B561" s="85">
        <v>71.55</v>
      </c>
      <c r="C561" s="85">
        <v>72.2</v>
      </c>
      <c r="D561" s="85">
        <v>71.2</v>
      </c>
      <c r="E561" s="85">
        <v>71.739999999999995</v>
      </c>
      <c r="F561" s="85">
        <v>1216068</v>
      </c>
      <c r="G561" s="112">
        <f t="shared" si="16"/>
        <v>9.7669875819716978E-4</v>
      </c>
      <c r="I561" s="105">
        <v>45084</v>
      </c>
      <c r="J561" s="85">
        <v>41975.360000000001</v>
      </c>
      <c r="K561" s="85">
        <v>42231.63</v>
      </c>
      <c r="L561" s="85">
        <v>41924.480000000003</v>
      </c>
      <c r="M561" s="85">
        <v>42142.71</v>
      </c>
      <c r="N561" s="123">
        <v>117407005</v>
      </c>
      <c r="O561" s="112">
        <f t="shared" si="17"/>
        <v>5.229768726149997E-3</v>
      </c>
    </row>
    <row r="562" spans="1:15">
      <c r="A562" s="105">
        <v>45083</v>
      </c>
      <c r="B562" s="85">
        <v>72.010000000000005</v>
      </c>
      <c r="C562" s="85">
        <v>72.3</v>
      </c>
      <c r="D562" s="85">
        <v>71.150000000000006</v>
      </c>
      <c r="E562" s="85">
        <v>71.67</v>
      </c>
      <c r="F562" s="85">
        <v>2155824</v>
      </c>
      <c r="G562" s="112">
        <f t="shared" si="16"/>
        <v>-4.4450618141407272E-3</v>
      </c>
      <c r="I562" s="105">
        <v>45083</v>
      </c>
      <c r="J562" s="85">
        <v>41752.639999999999</v>
      </c>
      <c r="K562" s="85">
        <v>42026.94</v>
      </c>
      <c r="L562" s="85">
        <v>41751.199999999997</v>
      </c>
      <c r="M562" s="85">
        <v>41923.46</v>
      </c>
      <c r="N562" s="123">
        <v>122487335</v>
      </c>
      <c r="O562" s="112">
        <f t="shared" si="17"/>
        <v>6.1322925971381004E-3</v>
      </c>
    </row>
    <row r="563" spans="1:15">
      <c r="A563" s="105">
        <v>45082</v>
      </c>
      <c r="B563" s="85">
        <v>72.7</v>
      </c>
      <c r="C563" s="85">
        <v>72.73</v>
      </c>
      <c r="D563" s="85">
        <v>71.7</v>
      </c>
      <c r="E563" s="85">
        <v>71.989999999999995</v>
      </c>
      <c r="F563" s="85">
        <v>601559</v>
      </c>
      <c r="G563" s="112">
        <f t="shared" si="16"/>
        <v>-2.6323081185926078E-3</v>
      </c>
      <c r="I563" s="105">
        <v>45082</v>
      </c>
      <c r="J563" s="85">
        <v>41390.47</v>
      </c>
      <c r="K563" s="85">
        <v>41681.68</v>
      </c>
      <c r="L563" s="85">
        <v>41375.57</v>
      </c>
      <c r="M563" s="85">
        <v>41667.94</v>
      </c>
      <c r="N563" s="123">
        <v>81528663</v>
      </c>
      <c r="O563" s="112">
        <f t="shared" si="17"/>
        <v>7.6163797627160079E-3</v>
      </c>
    </row>
    <row r="564" spans="1:15">
      <c r="A564" s="105">
        <v>45079</v>
      </c>
      <c r="B564" s="85">
        <v>73.38</v>
      </c>
      <c r="C564" s="85">
        <v>73.38</v>
      </c>
      <c r="D564" s="85">
        <v>72</v>
      </c>
      <c r="E564" s="85">
        <v>72.180000000000007</v>
      </c>
      <c r="F564" s="85">
        <v>3159408</v>
      </c>
      <c r="G564" s="112">
        <f t="shared" si="16"/>
        <v>-1.069078947368407E-2</v>
      </c>
      <c r="I564" s="105">
        <v>45079</v>
      </c>
      <c r="J564" s="85">
        <v>41258.43</v>
      </c>
      <c r="K564" s="85">
        <v>41403.43</v>
      </c>
      <c r="L564" s="85">
        <v>41237.410000000003</v>
      </c>
      <c r="M564" s="85">
        <v>41352.980000000003</v>
      </c>
      <c r="N564" s="123">
        <v>67590495</v>
      </c>
      <c r="O564" s="112">
        <f t="shared" si="17"/>
        <v>3.0613603733691264E-3</v>
      </c>
    </row>
    <row r="565" spans="1:15">
      <c r="A565" s="105">
        <v>45078</v>
      </c>
      <c r="B565" s="85">
        <v>73.88</v>
      </c>
      <c r="C565" s="85">
        <v>74</v>
      </c>
      <c r="D565" s="85">
        <v>72.8</v>
      </c>
      <c r="E565" s="85">
        <v>72.959999999999994</v>
      </c>
      <c r="F565" s="85">
        <v>475369</v>
      </c>
      <c r="G565" s="112">
        <f t="shared" si="16"/>
        <v>-7.2118655599401338E-3</v>
      </c>
      <c r="I565" s="105">
        <v>45078</v>
      </c>
      <c r="J565" s="85">
        <v>41388.199999999997</v>
      </c>
      <c r="K565" s="85">
        <v>41481.53</v>
      </c>
      <c r="L565" s="85">
        <v>41226.94</v>
      </c>
      <c r="M565" s="85">
        <v>41226.769999999997</v>
      </c>
      <c r="N565" s="123">
        <v>49182996</v>
      </c>
      <c r="O565" s="112">
        <f t="shared" si="17"/>
        <v>-2.5112168816489033E-3</v>
      </c>
    </row>
    <row r="566" spans="1:15">
      <c r="A566" s="105">
        <v>45077</v>
      </c>
      <c r="B566" s="85">
        <v>73.2</v>
      </c>
      <c r="C566" s="85">
        <v>75.099999999999994</v>
      </c>
      <c r="D566" s="85">
        <v>72.75</v>
      </c>
      <c r="E566" s="85">
        <v>73.489999999999995</v>
      </c>
      <c r="F566" s="85">
        <v>2100421</v>
      </c>
      <c r="G566" s="112">
        <f t="shared" si="16"/>
        <v>-1.1167922497308913E-2</v>
      </c>
      <c r="I566" s="105">
        <v>45077</v>
      </c>
      <c r="J566" s="85">
        <v>41736.69</v>
      </c>
      <c r="K566" s="85">
        <v>41852.230000000003</v>
      </c>
      <c r="L566" s="85">
        <v>41265.03</v>
      </c>
      <c r="M566" s="85">
        <v>41330.559999999998</v>
      </c>
      <c r="N566" s="123">
        <v>90800279</v>
      </c>
      <c r="O566" s="112">
        <f t="shared" si="17"/>
        <v>-8.1851810523462243E-3</v>
      </c>
    </row>
    <row r="567" spans="1:15">
      <c r="A567" s="105">
        <v>45076</v>
      </c>
      <c r="B567" s="85">
        <v>72.099999999999994</v>
      </c>
      <c r="C567" s="85">
        <v>74.95</v>
      </c>
      <c r="D567" s="85">
        <v>72.03</v>
      </c>
      <c r="E567" s="85">
        <v>74.319999999999993</v>
      </c>
      <c r="F567" s="85">
        <v>5905853</v>
      </c>
      <c r="G567" s="112">
        <f t="shared" si="16"/>
        <v>2.964810196730383E-2</v>
      </c>
      <c r="I567" s="105">
        <v>45076</v>
      </c>
      <c r="J567" s="85">
        <v>41362.07</v>
      </c>
      <c r="K567" s="85">
        <v>41693.46</v>
      </c>
      <c r="L567" s="85">
        <v>41362.06</v>
      </c>
      <c r="M567" s="85">
        <v>41671.65</v>
      </c>
      <c r="N567" s="123">
        <v>104070259</v>
      </c>
      <c r="O567" s="112">
        <f t="shared" si="17"/>
        <v>8.0210333511854248E-3</v>
      </c>
    </row>
    <row r="568" spans="1:15">
      <c r="A568" s="105">
        <v>45075</v>
      </c>
      <c r="B568" s="85">
        <v>72.900000000000006</v>
      </c>
      <c r="C568" s="85">
        <v>72.900000000000006</v>
      </c>
      <c r="D568" s="85">
        <v>71.599999999999994</v>
      </c>
      <c r="E568" s="85">
        <v>72.180000000000007</v>
      </c>
      <c r="F568" s="85">
        <v>3047216</v>
      </c>
      <c r="G568" s="112">
        <f t="shared" si="16"/>
        <v>-1.3852334118291676E-4</v>
      </c>
      <c r="I568" s="105">
        <v>45075</v>
      </c>
      <c r="J568" s="85">
        <v>41005.15</v>
      </c>
      <c r="K568" s="85">
        <v>41649.129999999997</v>
      </c>
      <c r="L568" s="85">
        <v>41005.15</v>
      </c>
      <c r="M568" s="85">
        <v>41340.06</v>
      </c>
      <c r="N568" s="123">
        <v>95414355</v>
      </c>
      <c r="O568" s="112">
        <f t="shared" si="17"/>
        <v>9.1669526863964457E-3</v>
      </c>
    </row>
    <row r="569" spans="1:15">
      <c r="A569" s="105">
        <v>45072</v>
      </c>
      <c r="B569" s="85">
        <v>72.12</v>
      </c>
      <c r="C569" s="85">
        <v>73</v>
      </c>
      <c r="D569" s="85">
        <v>71.7</v>
      </c>
      <c r="E569" s="85">
        <v>72.19</v>
      </c>
      <c r="F569" s="85">
        <v>2197486</v>
      </c>
      <c r="G569" s="112">
        <f t="shared" si="16"/>
        <v>-4.6877154280987599E-3</v>
      </c>
      <c r="I569" s="105">
        <v>45072</v>
      </c>
      <c r="J569" s="85">
        <v>41055.620000000003</v>
      </c>
      <c r="K569" s="85">
        <v>41148.559999999998</v>
      </c>
      <c r="L569" s="85">
        <v>40783.79</v>
      </c>
      <c r="M569" s="85">
        <v>40964.54</v>
      </c>
      <c r="N569" s="123">
        <v>107421013</v>
      </c>
      <c r="O569" s="112">
        <f t="shared" si="17"/>
        <v>-1.5715705615195752E-3</v>
      </c>
    </row>
    <row r="570" spans="1:15">
      <c r="A570" s="105">
        <v>45071</v>
      </c>
      <c r="B570" s="85">
        <v>73</v>
      </c>
      <c r="C570" s="85">
        <v>73.45</v>
      </c>
      <c r="D570" s="85">
        <v>72.489999999999995</v>
      </c>
      <c r="E570" s="85">
        <v>72.53</v>
      </c>
      <c r="F570" s="85">
        <v>1323502</v>
      </c>
      <c r="G570" s="112">
        <f t="shared" si="16"/>
        <v>-8.2045672090796939E-3</v>
      </c>
      <c r="I570" s="105">
        <v>45071</v>
      </c>
      <c r="J570" s="85">
        <v>41165.06</v>
      </c>
      <c r="K570" s="85">
        <v>41219.019999999997</v>
      </c>
      <c r="L570" s="85">
        <v>40956.870000000003</v>
      </c>
      <c r="M570" s="85">
        <v>41029.019999999997</v>
      </c>
      <c r="N570" s="123">
        <v>66782330</v>
      </c>
      <c r="O570" s="112">
        <f t="shared" si="17"/>
        <v>-2.1475135052576588E-3</v>
      </c>
    </row>
    <row r="571" spans="1:15">
      <c r="A571" s="105">
        <v>45070</v>
      </c>
      <c r="B571" s="85">
        <v>72.95</v>
      </c>
      <c r="C571" s="85">
        <v>73.7</v>
      </c>
      <c r="D571" s="85">
        <v>72.8</v>
      </c>
      <c r="E571" s="85">
        <v>73.13</v>
      </c>
      <c r="F571" s="85">
        <v>1057146</v>
      </c>
      <c r="G571" s="112">
        <f t="shared" si="16"/>
        <v>7.5778451364012511E-3</v>
      </c>
      <c r="I571" s="105">
        <v>45070</v>
      </c>
      <c r="J571" s="85">
        <v>41128.92</v>
      </c>
      <c r="K571" s="85">
        <v>41342.230000000003</v>
      </c>
      <c r="L571" s="85">
        <v>41064.400000000001</v>
      </c>
      <c r="M571" s="85">
        <v>41117.32</v>
      </c>
      <c r="N571" s="123">
        <v>40319317</v>
      </c>
      <c r="O571" s="112">
        <f t="shared" si="17"/>
        <v>4.3845028990752155E-4</v>
      </c>
    </row>
    <row r="572" spans="1:15">
      <c r="A572" s="105">
        <v>45069</v>
      </c>
      <c r="B572" s="85">
        <v>72.599999999999994</v>
      </c>
      <c r="C572" s="85">
        <v>73.400000000000006</v>
      </c>
      <c r="D572" s="85">
        <v>72.41</v>
      </c>
      <c r="E572" s="85">
        <v>72.58</v>
      </c>
      <c r="F572" s="85">
        <v>758419</v>
      </c>
      <c r="G572" s="112">
        <f t="shared" si="16"/>
        <v>-2.885011677428273E-3</v>
      </c>
      <c r="I572" s="105">
        <v>45069</v>
      </c>
      <c r="J572" s="85">
        <v>41224.39</v>
      </c>
      <c r="K572" s="85">
        <v>41295.64</v>
      </c>
      <c r="L572" s="85">
        <v>41098.699999999997</v>
      </c>
      <c r="M572" s="85">
        <v>41099.300000000003</v>
      </c>
      <c r="N572" s="123">
        <v>43773934</v>
      </c>
      <c r="O572" s="112">
        <f t="shared" si="17"/>
        <v>-2.3245505650433262E-3</v>
      </c>
    </row>
    <row r="573" spans="1:15">
      <c r="A573" s="105">
        <v>45068</v>
      </c>
      <c r="B573" s="85">
        <v>73</v>
      </c>
      <c r="C573" s="85">
        <v>73.2</v>
      </c>
      <c r="D573" s="85">
        <v>72.7</v>
      </c>
      <c r="E573" s="85">
        <v>72.790000000000006</v>
      </c>
      <c r="F573" s="85">
        <v>965778</v>
      </c>
      <c r="G573" s="112">
        <f t="shared" si="16"/>
        <v>-4.1045286632918065E-3</v>
      </c>
      <c r="I573" s="105">
        <v>45068</v>
      </c>
      <c r="J573" s="85">
        <v>41600.629999999997</v>
      </c>
      <c r="K573" s="85">
        <v>41690.269999999997</v>
      </c>
      <c r="L573" s="85">
        <v>41155.47</v>
      </c>
      <c r="M573" s="85">
        <v>41195.06</v>
      </c>
      <c r="N573" s="123">
        <v>47159489</v>
      </c>
      <c r="O573" s="112">
        <f t="shared" si="17"/>
        <v>-9.7146145669217976E-3</v>
      </c>
    </row>
    <row r="574" spans="1:15">
      <c r="A574" s="105">
        <v>45065</v>
      </c>
      <c r="B574" s="85">
        <v>73.400000000000006</v>
      </c>
      <c r="C574" s="85">
        <v>73.400000000000006</v>
      </c>
      <c r="D574" s="85">
        <v>72.7</v>
      </c>
      <c r="E574" s="85">
        <v>73.09</v>
      </c>
      <c r="F574" s="85">
        <v>1091821</v>
      </c>
      <c r="G574" s="112">
        <f t="shared" si="16"/>
        <v>6.845564074480226E-4</v>
      </c>
      <c r="I574" s="105">
        <v>45065</v>
      </c>
      <c r="J574" s="85">
        <v>41462.639999999999</v>
      </c>
      <c r="K574" s="85">
        <v>41628.78</v>
      </c>
      <c r="L574" s="85">
        <v>41354.33</v>
      </c>
      <c r="M574" s="85">
        <v>41599.18</v>
      </c>
      <c r="N574" s="123">
        <v>54445137</v>
      </c>
      <c r="O574" s="112">
        <f t="shared" si="17"/>
        <v>3.7910751079759386E-3</v>
      </c>
    </row>
    <row r="575" spans="1:15">
      <c r="A575" s="105">
        <v>45064</v>
      </c>
      <c r="B575" s="85">
        <v>74.05</v>
      </c>
      <c r="C575" s="85">
        <v>74.48</v>
      </c>
      <c r="D575" s="85">
        <v>72.8</v>
      </c>
      <c r="E575" s="85">
        <v>73.040000000000006</v>
      </c>
      <c r="F575" s="85">
        <v>990829</v>
      </c>
      <c r="G575" s="112">
        <f t="shared" si="16"/>
        <v>-1.3639432815664931E-2</v>
      </c>
      <c r="I575" s="105">
        <v>45064</v>
      </c>
      <c r="J575" s="85">
        <v>41878.589999999997</v>
      </c>
      <c r="K575" s="85">
        <v>41964.26</v>
      </c>
      <c r="L575" s="85">
        <v>41411.629999999997</v>
      </c>
      <c r="M575" s="85">
        <v>41442.07</v>
      </c>
      <c r="N575" s="123">
        <v>49251803</v>
      </c>
      <c r="O575" s="112">
        <f t="shared" si="17"/>
        <v>-9.3606440364052412E-3</v>
      </c>
    </row>
    <row r="576" spans="1:15">
      <c r="A576" s="105">
        <v>45063</v>
      </c>
      <c r="B576" s="85">
        <v>73.69</v>
      </c>
      <c r="C576" s="85">
        <v>74.989999999999995</v>
      </c>
      <c r="D576" s="85">
        <v>73.63</v>
      </c>
      <c r="E576" s="85">
        <v>74.05</v>
      </c>
      <c r="F576" s="85">
        <v>2857483</v>
      </c>
      <c r="G576" s="112">
        <f t="shared" si="16"/>
        <v>4.8853304383227325E-3</v>
      </c>
      <c r="I576" s="105">
        <v>45063</v>
      </c>
      <c r="J576" s="85">
        <v>42083.63</v>
      </c>
      <c r="K576" s="85">
        <v>42110.03</v>
      </c>
      <c r="L576" s="85">
        <v>41818.33</v>
      </c>
      <c r="M576" s="85">
        <v>41833.660000000003</v>
      </c>
      <c r="N576" s="123">
        <v>55085917</v>
      </c>
      <c r="O576" s="112">
        <f t="shared" si="17"/>
        <v>-4.1084372226600774E-3</v>
      </c>
    </row>
    <row r="577" spans="1:15">
      <c r="A577" s="105">
        <v>45062</v>
      </c>
      <c r="B577" s="85">
        <v>73.900000000000006</v>
      </c>
      <c r="C577" s="85">
        <v>73.900000000000006</v>
      </c>
      <c r="D577" s="85">
        <v>72.5</v>
      </c>
      <c r="E577" s="85">
        <v>73.69</v>
      </c>
      <c r="F577" s="85">
        <v>4289687</v>
      </c>
      <c r="G577" s="112">
        <f t="shared" si="16"/>
        <v>8.0711354309166428E-3</v>
      </c>
      <c r="I577" s="105">
        <v>45062</v>
      </c>
      <c r="J577" s="85">
        <v>41827.94</v>
      </c>
      <c r="K577" s="85">
        <v>42081.57</v>
      </c>
      <c r="L577" s="85">
        <v>41817.01</v>
      </c>
      <c r="M577" s="85">
        <v>42006.239999999998</v>
      </c>
      <c r="N577" s="123">
        <v>101393475</v>
      </c>
      <c r="O577" s="112">
        <f t="shared" si="17"/>
        <v>6.8991107525164796E-3</v>
      </c>
    </row>
    <row r="578" spans="1:15">
      <c r="A578" s="105">
        <v>45061</v>
      </c>
      <c r="B578" s="85">
        <v>73</v>
      </c>
      <c r="C578" s="85">
        <v>73.5</v>
      </c>
      <c r="D578" s="85">
        <v>71.819999999999993</v>
      </c>
      <c r="E578" s="85">
        <v>73.099999999999994</v>
      </c>
      <c r="F578" s="85">
        <v>1434377</v>
      </c>
      <c r="G578" s="112">
        <f t="shared" si="16"/>
        <v>2.8810536424748179E-3</v>
      </c>
      <c r="I578" s="105">
        <v>45061</v>
      </c>
      <c r="J578" s="85">
        <v>41498.01</v>
      </c>
      <c r="K578" s="85">
        <v>41716.25</v>
      </c>
      <c r="L578" s="85">
        <v>41310.19</v>
      </c>
      <c r="M578" s="85">
        <v>41718.42</v>
      </c>
      <c r="N578" s="123">
        <v>49988471</v>
      </c>
      <c r="O578" s="112">
        <f t="shared" si="17"/>
        <v>5.564074838783073E-3</v>
      </c>
    </row>
    <row r="579" spans="1:15">
      <c r="A579" s="105">
        <v>45058</v>
      </c>
      <c r="B579" s="85">
        <v>73.2</v>
      </c>
      <c r="C579" s="85">
        <v>73.67</v>
      </c>
      <c r="D579" s="85">
        <v>72.349999999999994</v>
      </c>
      <c r="E579" s="85">
        <v>72.89</v>
      </c>
      <c r="F579" s="85">
        <v>1814440</v>
      </c>
      <c r="G579" s="112">
        <f t="shared" si="16"/>
        <v>-4.3709875700039813E-3</v>
      </c>
      <c r="I579" s="105">
        <v>45058</v>
      </c>
      <c r="J579" s="85">
        <v>41388.379999999997</v>
      </c>
      <c r="K579" s="85">
        <v>41653.160000000003</v>
      </c>
      <c r="L579" s="85">
        <v>41295.050000000003</v>
      </c>
      <c r="M579" s="85">
        <v>41487.58</v>
      </c>
      <c r="N579" s="123">
        <v>50185992</v>
      </c>
      <c r="O579" s="112">
        <f t="shared" si="17"/>
        <v>3.9188755259147445E-3</v>
      </c>
    </row>
    <row r="580" spans="1:15">
      <c r="A580" s="105">
        <v>45057</v>
      </c>
      <c r="B580" s="85">
        <v>72.31</v>
      </c>
      <c r="C580" s="85">
        <v>74.59</v>
      </c>
      <c r="D580" s="85">
        <v>72.150000000000006</v>
      </c>
      <c r="E580" s="85">
        <v>73.209999999999994</v>
      </c>
      <c r="F580" s="85">
        <v>2009034</v>
      </c>
      <c r="G580" s="112">
        <f t="shared" ref="G580:G643" si="18">E580/E581-1</f>
        <v>1.9070155902004338E-2</v>
      </c>
      <c r="I580" s="105">
        <v>45057</v>
      </c>
      <c r="J580" s="85">
        <v>41175.26</v>
      </c>
      <c r="K580" s="85">
        <v>41498.769999999997</v>
      </c>
      <c r="L580" s="85">
        <v>41174.949999999997</v>
      </c>
      <c r="M580" s="85">
        <v>41325.629999999997</v>
      </c>
      <c r="N580" s="123">
        <v>38582198</v>
      </c>
      <c r="O580" s="112">
        <f t="shared" ref="O580:O643" si="19">M580/M581-1</f>
        <v>6.1029897784417031E-3</v>
      </c>
    </row>
    <row r="581" spans="1:15">
      <c r="A581" s="105">
        <v>45056</v>
      </c>
      <c r="B581" s="85">
        <v>73.5</v>
      </c>
      <c r="C581" s="85">
        <v>73.989999999999995</v>
      </c>
      <c r="D581" s="85">
        <v>71.36</v>
      </c>
      <c r="E581" s="85">
        <v>71.84</v>
      </c>
      <c r="F581" s="85">
        <v>2522826</v>
      </c>
      <c r="G581" s="112">
        <f t="shared" si="18"/>
        <v>-2.2585034013605343E-2</v>
      </c>
      <c r="I581" s="105">
        <v>45056</v>
      </c>
      <c r="J581" s="85">
        <v>41258.910000000003</v>
      </c>
      <c r="K581" s="85">
        <v>41407.089999999997</v>
      </c>
      <c r="L581" s="85">
        <v>41041.32</v>
      </c>
      <c r="M581" s="85">
        <v>41074.949999999997</v>
      </c>
      <c r="N581" s="123">
        <v>53035790</v>
      </c>
      <c r="O581" s="112">
        <f t="shared" si="19"/>
        <v>-7.2234101717970622E-3</v>
      </c>
    </row>
    <row r="582" spans="1:15">
      <c r="A582" s="105">
        <v>45055</v>
      </c>
      <c r="B582" s="85">
        <v>76.849999999999994</v>
      </c>
      <c r="C582" s="85">
        <v>76.849999999999994</v>
      </c>
      <c r="D582" s="85">
        <v>73</v>
      </c>
      <c r="E582" s="85">
        <v>73.5</v>
      </c>
      <c r="F582" s="85">
        <v>4802446</v>
      </c>
      <c r="G582" s="112">
        <f t="shared" si="18"/>
        <v>-3.8335732042391824E-2</v>
      </c>
      <c r="I582" s="105">
        <v>45055</v>
      </c>
      <c r="J582" s="85">
        <v>41824.46</v>
      </c>
      <c r="K582" s="85">
        <v>41830.35</v>
      </c>
      <c r="L582" s="85">
        <v>41277.730000000003</v>
      </c>
      <c r="M582" s="85">
        <v>41373.81</v>
      </c>
      <c r="N582" s="123">
        <v>104566602</v>
      </c>
      <c r="O582" s="112">
        <f t="shared" si="19"/>
        <v>-1.0893749840124811E-2</v>
      </c>
    </row>
    <row r="583" spans="1:15">
      <c r="A583" s="105">
        <v>45054</v>
      </c>
      <c r="B583" s="85">
        <v>77.010000000000005</v>
      </c>
      <c r="C583" s="85">
        <v>77.790000000000006</v>
      </c>
      <c r="D583" s="85">
        <v>76.010000000000005</v>
      </c>
      <c r="E583" s="85">
        <v>76.430000000000007</v>
      </c>
      <c r="F583" s="85">
        <v>2168371</v>
      </c>
      <c r="G583" s="112">
        <f t="shared" si="18"/>
        <v>-6.8866943866942032E-3</v>
      </c>
      <c r="I583" s="105">
        <v>45054</v>
      </c>
      <c r="J583" s="85">
        <v>42317.71</v>
      </c>
      <c r="K583" s="85">
        <v>42390.82</v>
      </c>
      <c r="L583" s="85">
        <v>41767.449999999997</v>
      </c>
      <c r="M583" s="85">
        <v>41829.49</v>
      </c>
      <c r="N583" s="123">
        <v>68753925</v>
      </c>
      <c r="O583" s="112">
        <f t="shared" si="19"/>
        <v>-9.7649305264574382E-3</v>
      </c>
    </row>
    <row r="584" spans="1:15">
      <c r="A584" s="105">
        <v>45051</v>
      </c>
      <c r="B584" s="85">
        <v>76.89</v>
      </c>
      <c r="C584" s="85">
        <v>78.78</v>
      </c>
      <c r="D584" s="85">
        <v>75.8</v>
      </c>
      <c r="E584" s="85">
        <v>76.959999999999994</v>
      </c>
      <c r="F584" s="85">
        <v>2692466</v>
      </c>
      <c r="G584" s="112">
        <f t="shared" si="18"/>
        <v>-1.0924045752474076E-2</v>
      </c>
      <c r="I584" s="105">
        <v>45051</v>
      </c>
      <c r="J584" s="85">
        <v>42155.94</v>
      </c>
      <c r="K584" s="85">
        <v>42323.839999999997</v>
      </c>
      <c r="L584" s="85">
        <v>41962.9</v>
      </c>
      <c r="M584" s="85">
        <v>42241.98</v>
      </c>
      <c r="N584" s="123">
        <v>99979131</v>
      </c>
      <c r="O584" s="112">
        <f t="shared" si="19"/>
        <v>3.5202333835386845E-3</v>
      </c>
    </row>
    <row r="585" spans="1:15">
      <c r="A585" s="105">
        <v>45050</v>
      </c>
      <c r="B585" s="85">
        <v>78.25</v>
      </c>
      <c r="C585" s="85">
        <v>79.010000000000005</v>
      </c>
      <c r="D585" s="85">
        <v>77.25</v>
      </c>
      <c r="E585" s="85">
        <v>77.81</v>
      </c>
      <c r="F585" s="85">
        <v>4781142</v>
      </c>
      <c r="G585" s="112">
        <f t="shared" si="18"/>
        <v>-5.4959100204498013E-3</v>
      </c>
      <c r="I585" s="105">
        <v>45050</v>
      </c>
      <c r="J585" s="85">
        <v>42151.42</v>
      </c>
      <c r="K585" s="85">
        <v>42337.57</v>
      </c>
      <c r="L585" s="85">
        <v>42055.9</v>
      </c>
      <c r="M585" s="85">
        <v>42093.8</v>
      </c>
      <c r="N585" s="123">
        <v>147366578</v>
      </c>
      <c r="O585" s="112">
        <f t="shared" si="19"/>
        <v>1.3946991453384072E-4</v>
      </c>
    </row>
    <row r="586" spans="1:15">
      <c r="A586" s="105">
        <v>45049</v>
      </c>
      <c r="B586" s="85">
        <v>81.5</v>
      </c>
      <c r="C586" s="85">
        <v>82.01</v>
      </c>
      <c r="D586" s="85">
        <v>77.5</v>
      </c>
      <c r="E586" s="85">
        <v>78.239999999999995</v>
      </c>
      <c r="F586" s="85">
        <v>23530334</v>
      </c>
      <c r="G586" s="112">
        <f t="shared" si="18"/>
        <v>3.8491147036181506E-3</v>
      </c>
      <c r="I586" s="105">
        <v>45049</v>
      </c>
      <c r="J586" s="85">
        <v>42076.28</v>
      </c>
      <c r="K586" s="85">
        <v>42171.68</v>
      </c>
      <c r="L586" s="85">
        <v>41914.46</v>
      </c>
      <c r="M586" s="85">
        <v>42087.93</v>
      </c>
      <c r="N586" s="123">
        <v>135523789</v>
      </c>
      <c r="O586" s="112">
        <f t="shared" si="19"/>
        <v>3.8230150802669449E-3</v>
      </c>
    </row>
    <row r="587" spans="1:15">
      <c r="A587" s="105">
        <v>45048</v>
      </c>
      <c r="B587" s="85">
        <v>73.900000000000006</v>
      </c>
      <c r="C587" s="85">
        <v>77.94</v>
      </c>
      <c r="D587" s="85">
        <v>73.900000000000006</v>
      </c>
      <c r="E587" s="85">
        <v>77.94</v>
      </c>
      <c r="F587" s="85">
        <v>6029192</v>
      </c>
      <c r="G587" s="112">
        <f t="shared" si="18"/>
        <v>7.4886222589987561E-2</v>
      </c>
      <c r="I587" s="105">
        <v>45048</v>
      </c>
      <c r="J587" s="85">
        <v>41580.85</v>
      </c>
      <c r="K587" s="85">
        <v>41991.4</v>
      </c>
      <c r="L587" s="85">
        <v>41665.050000000003</v>
      </c>
      <c r="M587" s="85">
        <v>41927.64</v>
      </c>
      <c r="N587" s="123">
        <v>86718259</v>
      </c>
      <c r="O587" s="112">
        <f t="shared" si="19"/>
        <v>8.3401373468796614E-3</v>
      </c>
    </row>
    <row r="588" spans="1:15">
      <c r="A588" s="105">
        <v>45044</v>
      </c>
      <c r="B588" s="85">
        <v>74.8</v>
      </c>
      <c r="C588" s="85">
        <v>74.8</v>
      </c>
      <c r="D588" s="85">
        <v>72.12</v>
      </c>
      <c r="E588" s="85">
        <v>72.510000000000005</v>
      </c>
      <c r="F588" s="85">
        <v>1504181</v>
      </c>
      <c r="G588" s="112">
        <f t="shared" si="18"/>
        <v>-2.0002703067982019E-2</v>
      </c>
      <c r="I588" s="105">
        <v>45044</v>
      </c>
      <c r="J588" s="85">
        <v>41545.15</v>
      </c>
      <c r="K588" s="85">
        <v>41790.71</v>
      </c>
      <c r="L588" s="85">
        <v>41482.6</v>
      </c>
      <c r="M588" s="85">
        <v>41580.85</v>
      </c>
      <c r="N588" s="123">
        <v>126378178</v>
      </c>
      <c r="O588" s="112">
        <f t="shared" si="19"/>
        <v>2.8202839529605228E-3</v>
      </c>
    </row>
    <row r="589" spans="1:15">
      <c r="A589" s="105">
        <v>45043</v>
      </c>
      <c r="B589" s="85">
        <v>75.3</v>
      </c>
      <c r="C589" s="85">
        <v>75.3</v>
      </c>
      <c r="D589" s="85">
        <v>73.510000000000005</v>
      </c>
      <c r="E589" s="85">
        <v>73.989999999999995</v>
      </c>
      <c r="F589" s="85">
        <v>2102744</v>
      </c>
      <c r="G589" s="112">
        <f t="shared" si="18"/>
        <v>-8.9740155371015318E-3</v>
      </c>
      <c r="I589" s="105">
        <v>45043</v>
      </c>
      <c r="J589" s="85">
        <v>41204.629999999997</v>
      </c>
      <c r="K589" s="85">
        <v>41525.01</v>
      </c>
      <c r="L589" s="85">
        <v>41078.22</v>
      </c>
      <c r="M589" s="85">
        <v>41463.910000000003</v>
      </c>
      <c r="N589" s="123">
        <v>92486302</v>
      </c>
      <c r="O589" s="112">
        <f t="shared" si="19"/>
        <v>8.8645674724656676E-3</v>
      </c>
    </row>
    <row r="590" spans="1:15">
      <c r="A590" s="105">
        <v>45042</v>
      </c>
      <c r="B590" s="85">
        <v>75</v>
      </c>
      <c r="C590" s="85">
        <v>76.5</v>
      </c>
      <c r="D590" s="85">
        <v>74.3</v>
      </c>
      <c r="E590" s="85">
        <v>74.66</v>
      </c>
      <c r="F590" s="85">
        <v>1410115</v>
      </c>
      <c r="G590" s="112">
        <f t="shared" si="18"/>
        <v>-1.1256787180506045E-2</v>
      </c>
      <c r="I590" s="105">
        <v>45042</v>
      </c>
      <c r="J590" s="85">
        <v>41237.519999999997</v>
      </c>
      <c r="K590" s="85">
        <v>41364.6</v>
      </c>
      <c r="L590" s="85">
        <v>41055.129999999997</v>
      </c>
      <c r="M590" s="85">
        <v>41099.58</v>
      </c>
      <c r="N590" s="123">
        <v>82796141</v>
      </c>
      <c r="O590" s="112">
        <f t="shared" si="19"/>
        <v>2.2376219950244192E-3</v>
      </c>
    </row>
    <row r="591" spans="1:15">
      <c r="A591" s="105">
        <v>45036</v>
      </c>
      <c r="B591" s="85">
        <v>74.87</v>
      </c>
      <c r="C591" s="85">
        <v>76.5</v>
      </c>
      <c r="D591" s="85">
        <v>74.66</v>
      </c>
      <c r="E591" s="85">
        <v>75.510000000000005</v>
      </c>
      <c r="F591" s="85">
        <v>1068917</v>
      </c>
      <c r="G591" s="112">
        <f t="shared" si="18"/>
        <v>8.4134615384616751E-3</v>
      </c>
      <c r="I591" s="105">
        <v>45036</v>
      </c>
      <c r="J591" s="85">
        <v>40672.36</v>
      </c>
      <c r="K591" s="85">
        <v>41086.78</v>
      </c>
      <c r="L591" s="85">
        <v>40647.39</v>
      </c>
      <c r="M591" s="85">
        <v>41007.82</v>
      </c>
      <c r="N591" s="123">
        <v>72509719</v>
      </c>
      <c r="O591" s="112">
        <f t="shared" si="19"/>
        <v>1.2555266332735293E-2</v>
      </c>
    </row>
    <row r="592" spans="1:15">
      <c r="A592" s="105">
        <v>45035</v>
      </c>
      <c r="B592" s="85">
        <v>74.25</v>
      </c>
      <c r="C592" s="85">
        <v>75.42</v>
      </c>
      <c r="D592" s="85">
        <v>74.25</v>
      </c>
      <c r="E592" s="85">
        <v>74.88</v>
      </c>
      <c r="F592" s="85">
        <v>1087505</v>
      </c>
      <c r="G592" s="112">
        <f t="shared" si="18"/>
        <v>-9.3395597064716007E-4</v>
      </c>
      <c r="I592" s="105">
        <v>45035</v>
      </c>
      <c r="J592" s="85">
        <v>40355</v>
      </c>
      <c r="K592" s="85">
        <v>40532.76</v>
      </c>
      <c r="L592" s="85">
        <v>40289.949999999997</v>
      </c>
      <c r="M592" s="85">
        <v>40499.339999999997</v>
      </c>
      <c r="N592" s="123">
        <v>35146342</v>
      </c>
      <c r="O592" s="112">
        <f t="shared" si="19"/>
        <v>1.2680462964220762E-3</v>
      </c>
    </row>
    <row r="593" spans="1:15">
      <c r="A593" s="105">
        <v>45034</v>
      </c>
      <c r="B593" s="85">
        <v>74.3</v>
      </c>
      <c r="C593" s="85">
        <v>75.099999999999994</v>
      </c>
      <c r="D593" s="85">
        <v>74.25</v>
      </c>
      <c r="E593" s="85">
        <v>74.95</v>
      </c>
      <c r="F593" s="85">
        <v>1068363</v>
      </c>
      <c r="G593" s="112">
        <f t="shared" si="18"/>
        <v>9.4276094276095623E-3</v>
      </c>
      <c r="I593" s="105">
        <v>45034</v>
      </c>
      <c r="J593" s="85">
        <v>40293.339999999997</v>
      </c>
      <c r="K593" s="85">
        <v>40484.29</v>
      </c>
      <c r="L593" s="85">
        <v>40220.03</v>
      </c>
      <c r="M593" s="85">
        <v>40448.050000000003</v>
      </c>
      <c r="N593" s="123">
        <v>34297226</v>
      </c>
      <c r="O593" s="112">
        <f t="shared" si="19"/>
        <v>5.003893490789002E-3</v>
      </c>
    </row>
    <row r="594" spans="1:15">
      <c r="A594" s="105">
        <v>45033</v>
      </c>
      <c r="B594" s="85">
        <v>73.680000000000007</v>
      </c>
      <c r="C594" s="85">
        <v>74.989999999999995</v>
      </c>
      <c r="D594" s="85">
        <v>73.680000000000007</v>
      </c>
      <c r="E594" s="85">
        <v>74.25</v>
      </c>
      <c r="F594" s="85">
        <v>986977</v>
      </c>
      <c r="G594" s="112">
        <f t="shared" si="18"/>
        <v>-1.34661998384078E-4</v>
      </c>
      <c r="I594" s="105">
        <v>45033</v>
      </c>
      <c r="J594" s="85">
        <v>40302.129999999997</v>
      </c>
      <c r="K594" s="85">
        <v>40372.800000000003</v>
      </c>
      <c r="L594" s="85">
        <v>40182.370000000003</v>
      </c>
      <c r="M594" s="85">
        <v>40246.660000000003</v>
      </c>
      <c r="N594" s="123">
        <v>46917271</v>
      </c>
      <c r="O594" s="112">
        <f t="shared" si="19"/>
        <v>1.0227446267356832E-3</v>
      </c>
    </row>
    <row r="595" spans="1:15">
      <c r="A595" s="105">
        <v>45029</v>
      </c>
      <c r="B595" s="85">
        <v>74.33</v>
      </c>
      <c r="C595" s="85">
        <v>74.98</v>
      </c>
      <c r="D595" s="85">
        <v>73.709999999999994</v>
      </c>
      <c r="E595" s="85">
        <v>74.260000000000005</v>
      </c>
      <c r="F595" s="85">
        <v>334999</v>
      </c>
      <c r="G595" s="112">
        <f t="shared" si="18"/>
        <v>-2.2840252586322496E-3</v>
      </c>
      <c r="I595" s="105">
        <v>45029</v>
      </c>
      <c r="J595" s="85">
        <v>40283.25</v>
      </c>
      <c r="K595" s="85">
        <v>40418.6</v>
      </c>
      <c r="L595" s="85">
        <v>40159.15</v>
      </c>
      <c r="M595" s="85">
        <v>40205.54</v>
      </c>
      <c r="N595" s="123">
        <v>45808639</v>
      </c>
      <c r="O595" s="112">
        <f t="shared" si="19"/>
        <v>1.9810073505863723E-3</v>
      </c>
    </row>
    <row r="596" spans="1:15">
      <c r="A596" s="105">
        <v>45028</v>
      </c>
      <c r="B596" s="85">
        <v>73.2</v>
      </c>
      <c r="C596" s="85">
        <v>74.53</v>
      </c>
      <c r="D596" s="85">
        <v>73</v>
      </c>
      <c r="E596" s="85">
        <v>74.430000000000007</v>
      </c>
      <c r="F596" s="85">
        <v>877738</v>
      </c>
      <c r="G596" s="112">
        <f t="shared" si="18"/>
        <v>1.9589041095890547E-2</v>
      </c>
      <c r="I596" s="105">
        <v>45028</v>
      </c>
      <c r="J596" s="85">
        <v>39813.51</v>
      </c>
      <c r="K596" s="85">
        <v>40174.199999999997</v>
      </c>
      <c r="L596" s="85">
        <v>39800.47</v>
      </c>
      <c r="M596" s="85">
        <v>40126.050000000003</v>
      </c>
      <c r="N596" s="123">
        <v>46798435</v>
      </c>
      <c r="O596" s="112">
        <f t="shared" si="19"/>
        <v>8.0729139842998787E-3</v>
      </c>
    </row>
    <row r="597" spans="1:15">
      <c r="A597" s="105">
        <v>45027</v>
      </c>
      <c r="B597" s="85">
        <v>73.2</v>
      </c>
      <c r="C597" s="85">
        <v>73.5</v>
      </c>
      <c r="D597" s="85">
        <v>72.989999999999995</v>
      </c>
      <c r="E597" s="85">
        <v>73</v>
      </c>
      <c r="F597" s="85">
        <v>319761</v>
      </c>
      <c r="G597" s="112">
        <f t="shared" si="18"/>
        <v>-6.8446269678301697E-4</v>
      </c>
      <c r="I597" s="105">
        <v>45027</v>
      </c>
      <c r="J597" s="85">
        <v>39903</v>
      </c>
      <c r="K597" s="85">
        <v>39920.949999999997</v>
      </c>
      <c r="L597" s="85">
        <v>39722.910000000003</v>
      </c>
      <c r="M597" s="85">
        <v>39804.71</v>
      </c>
      <c r="N597" s="123">
        <v>32180891</v>
      </c>
      <c r="O597" s="112">
        <f t="shared" si="19"/>
        <v>-7.8296210202366545E-4</v>
      </c>
    </row>
    <row r="598" spans="1:15">
      <c r="A598" s="105">
        <v>45026</v>
      </c>
      <c r="B598" s="85">
        <v>74.69</v>
      </c>
      <c r="C598" s="85">
        <v>74.69</v>
      </c>
      <c r="D598" s="85">
        <v>72.5</v>
      </c>
      <c r="E598" s="85">
        <v>73.05</v>
      </c>
      <c r="F598" s="85">
        <v>744066</v>
      </c>
      <c r="G598" s="112">
        <f t="shared" si="18"/>
        <v>-1.6558966074313508E-2</v>
      </c>
      <c r="I598" s="105">
        <v>45026</v>
      </c>
      <c r="J598" s="85">
        <v>40084.61</v>
      </c>
      <c r="K598" s="85">
        <v>40183.81</v>
      </c>
      <c r="L598" s="85">
        <v>39815.57</v>
      </c>
      <c r="M598" s="85">
        <v>39835.9</v>
      </c>
      <c r="N598" s="123">
        <v>34495354</v>
      </c>
      <c r="O598" s="112">
        <f t="shared" si="19"/>
        <v>-5.3371252932298274E-3</v>
      </c>
    </row>
    <row r="599" spans="1:15">
      <c r="A599" s="105">
        <v>45023</v>
      </c>
      <c r="B599" s="85">
        <v>74.650000000000006</v>
      </c>
      <c r="C599" s="85">
        <v>75.010000000000005</v>
      </c>
      <c r="D599" s="85">
        <v>74.099999999999994</v>
      </c>
      <c r="E599" s="85">
        <v>74.28</v>
      </c>
      <c r="F599" s="85">
        <v>2316191</v>
      </c>
      <c r="G599" s="112">
        <f t="shared" si="18"/>
        <v>-3.0868339820159241E-3</v>
      </c>
      <c r="I599" s="105">
        <v>45023</v>
      </c>
      <c r="J599" s="85">
        <v>40439.230000000003</v>
      </c>
      <c r="K599" s="85">
        <v>40556.410000000003</v>
      </c>
      <c r="L599" s="85">
        <v>40004.35</v>
      </c>
      <c r="M599" s="85">
        <v>40049.65</v>
      </c>
      <c r="N599" s="123">
        <v>47688955</v>
      </c>
      <c r="O599" s="112">
        <f t="shared" si="19"/>
        <v>-7.465510673990039E-3</v>
      </c>
    </row>
    <row r="600" spans="1:15">
      <c r="A600" s="105">
        <v>45022</v>
      </c>
      <c r="B600" s="85">
        <v>74.650000000000006</v>
      </c>
      <c r="C600" s="85">
        <v>75.05</v>
      </c>
      <c r="D600" s="85">
        <v>73.709999999999994</v>
      </c>
      <c r="E600" s="85">
        <v>74.510000000000005</v>
      </c>
      <c r="F600" s="85">
        <v>1718970</v>
      </c>
      <c r="G600" s="112">
        <f t="shared" si="18"/>
        <v>9.3470604172312122E-3</v>
      </c>
      <c r="I600" s="105">
        <v>45022</v>
      </c>
      <c r="J600" s="85">
        <v>39781.47</v>
      </c>
      <c r="K600" s="85">
        <v>40374.33</v>
      </c>
      <c r="L600" s="85">
        <v>39780.19</v>
      </c>
      <c r="M600" s="85">
        <v>40350.89</v>
      </c>
      <c r="N600" s="123">
        <v>77331473</v>
      </c>
      <c r="O600" s="112">
        <f t="shared" si="19"/>
        <v>1.5956331207047869E-2</v>
      </c>
    </row>
    <row r="601" spans="1:15">
      <c r="A601" s="105">
        <v>45021</v>
      </c>
      <c r="B601" s="85">
        <v>74.489999999999995</v>
      </c>
      <c r="C601" s="85">
        <v>74.75</v>
      </c>
      <c r="D601" s="85">
        <v>72.599999999999994</v>
      </c>
      <c r="E601" s="85">
        <v>73.819999999999993</v>
      </c>
      <c r="F601" s="85">
        <v>2104072</v>
      </c>
      <c r="G601" s="112">
        <f t="shared" si="18"/>
        <v>1.081747227166896E-2</v>
      </c>
      <c r="I601" s="105">
        <v>45021</v>
      </c>
      <c r="J601" s="85">
        <v>39784.26</v>
      </c>
      <c r="K601" s="85">
        <v>39910.050000000003</v>
      </c>
      <c r="L601" s="85">
        <v>39664.879999999997</v>
      </c>
      <c r="M601" s="85">
        <v>39717.15</v>
      </c>
      <c r="N601" s="123">
        <v>39543955</v>
      </c>
      <c r="O601" s="112">
        <f t="shared" si="19"/>
        <v>7.5313841267954373E-4</v>
      </c>
    </row>
    <row r="602" spans="1:15">
      <c r="A602" s="105">
        <v>45020</v>
      </c>
      <c r="B602" s="85">
        <v>73.5</v>
      </c>
      <c r="C602" s="85">
        <v>74</v>
      </c>
      <c r="D602" s="85">
        <v>72.599999999999994</v>
      </c>
      <c r="E602" s="85">
        <v>73.03</v>
      </c>
      <c r="F602" s="85">
        <v>200392</v>
      </c>
      <c r="G602" s="112">
        <f t="shared" si="18"/>
        <v>-1.5039649986327008E-3</v>
      </c>
      <c r="I602" s="105">
        <v>45020</v>
      </c>
      <c r="J602" s="85">
        <v>39888.589999999997</v>
      </c>
      <c r="K602" s="85">
        <v>39921.61</v>
      </c>
      <c r="L602" s="85">
        <v>39482.17</v>
      </c>
      <c r="M602" s="85">
        <v>39687.26</v>
      </c>
      <c r="N602" s="123">
        <v>36946065</v>
      </c>
      <c r="O602" s="112">
        <f t="shared" si="19"/>
        <v>-5.0799826522502922E-3</v>
      </c>
    </row>
    <row r="603" spans="1:15">
      <c r="A603" s="105">
        <v>45019</v>
      </c>
      <c r="B603" s="85">
        <v>74</v>
      </c>
      <c r="C603" s="85">
        <v>74.25</v>
      </c>
      <c r="D603" s="85">
        <v>71.150000000000006</v>
      </c>
      <c r="E603" s="85">
        <v>73.14</v>
      </c>
      <c r="F603" s="85">
        <v>323949</v>
      </c>
      <c r="G603" s="112">
        <f t="shared" si="18"/>
        <v>-1.910480349344934E-3</v>
      </c>
      <c r="I603" s="105">
        <v>45019</v>
      </c>
      <c r="J603" s="85">
        <v>40019.68</v>
      </c>
      <c r="K603" s="85">
        <v>40077.769999999997</v>
      </c>
      <c r="L603" s="85">
        <v>39864.01</v>
      </c>
      <c r="M603" s="85">
        <v>39889.9</v>
      </c>
      <c r="N603" s="123">
        <v>33189874</v>
      </c>
      <c r="O603" s="112">
        <f t="shared" si="19"/>
        <v>-2.7731924562565125E-3</v>
      </c>
    </row>
    <row r="604" spans="1:15">
      <c r="A604" s="105">
        <v>45016</v>
      </c>
      <c r="B604" s="85">
        <v>73.75</v>
      </c>
      <c r="C604" s="85">
        <v>74</v>
      </c>
      <c r="D604" s="85">
        <v>72.75</v>
      </c>
      <c r="E604" s="85">
        <v>73.28</v>
      </c>
      <c r="F604" s="85">
        <v>1791061</v>
      </c>
      <c r="G604" s="112">
        <f t="shared" si="18"/>
        <v>4.7991224461811921E-3</v>
      </c>
      <c r="I604" s="105">
        <v>45016</v>
      </c>
      <c r="J604" s="85">
        <v>39901.18</v>
      </c>
      <c r="K604" s="85">
        <v>40000.83</v>
      </c>
      <c r="L604" s="85">
        <v>39729.440000000002</v>
      </c>
      <c r="M604" s="85">
        <v>40000.83</v>
      </c>
      <c r="N604" s="123">
        <v>68756703</v>
      </c>
      <c r="O604" s="112">
        <f t="shared" si="19"/>
        <v>3.8265072455949678E-3</v>
      </c>
    </row>
    <row r="605" spans="1:15">
      <c r="A605" s="105">
        <v>45015</v>
      </c>
      <c r="B605" s="85">
        <v>74</v>
      </c>
      <c r="C605" s="85">
        <v>74</v>
      </c>
      <c r="D605" s="85">
        <v>72.099999999999994</v>
      </c>
      <c r="E605" s="85">
        <v>72.930000000000007</v>
      </c>
      <c r="F605" s="85">
        <v>885431</v>
      </c>
      <c r="G605" s="112">
        <f t="shared" si="18"/>
        <v>-7.6200843652195482E-3</v>
      </c>
      <c r="I605" s="105">
        <v>45015</v>
      </c>
      <c r="J605" s="85">
        <v>39882.6</v>
      </c>
      <c r="K605" s="85">
        <v>40005.760000000002</v>
      </c>
      <c r="L605" s="85">
        <v>39796.69</v>
      </c>
      <c r="M605" s="85">
        <v>39848.35</v>
      </c>
      <c r="N605" s="123">
        <v>48906963</v>
      </c>
      <c r="O605" s="112">
        <f t="shared" si="19"/>
        <v>-7.9087479930362026E-4</v>
      </c>
    </row>
    <row r="606" spans="1:15">
      <c r="A606" s="105">
        <v>45014</v>
      </c>
      <c r="B606" s="85">
        <v>74.77</v>
      </c>
      <c r="C606" s="85">
        <v>75</v>
      </c>
      <c r="D606" s="85">
        <v>73.040000000000006</v>
      </c>
      <c r="E606" s="85">
        <v>73.489999999999995</v>
      </c>
      <c r="F606" s="85">
        <v>756878</v>
      </c>
      <c r="G606" s="112">
        <f t="shared" si="18"/>
        <v>-1.6856187290969937E-2</v>
      </c>
      <c r="I606" s="105">
        <v>45014</v>
      </c>
      <c r="J606" s="85">
        <v>40125.68</v>
      </c>
      <c r="K606" s="85">
        <v>40187.61</v>
      </c>
      <c r="L606" s="85">
        <v>39866.25</v>
      </c>
      <c r="M606" s="85">
        <v>39879.89</v>
      </c>
      <c r="N606" s="123">
        <v>44772859</v>
      </c>
      <c r="O606" s="112">
        <f t="shared" si="19"/>
        <v>-5.0515974978526668E-3</v>
      </c>
    </row>
    <row r="607" spans="1:15">
      <c r="A607" s="105">
        <v>45013</v>
      </c>
      <c r="B607" s="85">
        <v>73.94</v>
      </c>
      <c r="C607" s="85">
        <v>76</v>
      </c>
      <c r="D607" s="85">
        <v>73.650000000000006</v>
      </c>
      <c r="E607" s="85">
        <v>74.75</v>
      </c>
      <c r="F607" s="85">
        <v>3527993</v>
      </c>
      <c r="G607" s="112">
        <f t="shared" si="18"/>
        <v>2.4674434544208257E-2</v>
      </c>
      <c r="I607" s="105">
        <v>45013</v>
      </c>
      <c r="J607" s="85">
        <v>40022.160000000003</v>
      </c>
      <c r="K607" s="85">
        <v>40204.400000000001</v>
      </c>
      <c r="L607" s="85">
        <v>40022.160000000003</v>
      </c>
      <c r="M607" s="85">
        <v>40082.370000000003</v>
      </c>
      <c r="N607" s="123">
        <v>36703040</v>
      </c>
      <c r="O607" s="112">
        <f t="shared" si="19"/>
        <v>2.0499810376755079E-3</v>
      </c>
    </row>
    <row r="608" spans="1:15">
      <c r="A608" s="105">
        <v>45012</v>
      </c>
      <c r="B608" s="85">
        <v>72.989999999999995</v>
      </c>
      <c r="C608" s="85">
        <v>73.88</v>
      </c>
      <c r="D608" s="85">
        <v>71.510000000000005</v>
      </c>
      <c r="E608" s="85">
        <v>72.95</v>
      </c>
      <c r="F608" s="85">
        <v>804895</v>
      </c>
      <c r="G608" s="112">
        <f t="shared" si="18"/>
        <v>6.2068965517241281E-3</v>
      </c>
      <c r="I608" s="105">
        <v>45012</v>
      </c>
      <c r="J608" s="85">
        <v>39850.99</v>
      </c>
      <c r="K608" s="85">
        <v>40066.730000000003</v>
      </c>
      <c r="L608" s="85">
        <v>39840.71</v>
      </c>
      <c r="M608" s="85">
        <v>40000.370000000003</v>
      </c>
      <c r="N608" s="123">
        <v>36471249</v>
      </c>
      <c r="O608" s="112">
        <f t="shared" si="19"/>
        <v>1.4601153421018864E-3</v>
      </c>
    </row>
    <row r="609" spans="1:15">
      <c r="A609" s="105">
        <v>45009</v>
      </c>
      <c r="B609" s="85">
        <v>74.849999999999994</v>
      </c>
      <c r="C609" s="85">
        <v>74.849999999999994</v>
      </c>
      <c r="D609" s="85">
        <v>71.31</v>
      </c>
      <c r="E609" s="85">
        <v>72.5</v>
      </c>
      <c r="F609" s="85">
        <v>82419</v>
      </c>
      <c r="G609" s="112">
        <f t="shared" si="18"/>
        <v>-6.5771444231297327E-3</v>
      </c>
      <c r="I609" s="105">
        <v>45009</v>
      </c>
      <c r="J609" s="85">
        <v>40422.76</v>
      </c>
      <c r="K609" s="85">
        <v>40456.22</v>
      </c>
      <c r="L609" s="85">
        <v>39922.89</v>
      </c>
      <c r="M609" s="85">
        <v>39942.050000000003</v>
      </c>
      <c r="N609" s="123">
        <v>19488150</v>
      </c>
      <c r="O609" s="112">
        <f t="shared" si="19"/>
        <v>-1.0750171512355022E-2</v>
      </c>
    </row>
    <row r="610" spans="1:15">
      <c r="A610" s="105">
        <v>45007</v>
      </c>
      <c r="B610" s="85">
        <v>74.239999999999995</v>
      </c>
      <c r="C610" s="85">
        <v>74.7</v>
      </c>
      <c r="D610" s="85">
        <v>72.510000000000005</v>
      </c>
      <c r="E610" s="85">
        <v>72.98</v>
      </c>
      <c r="F610" s="85">
        <v>204125</v>
      </c>
      <c r="G610" s="112">
        <f t="shared" si="18"/>
        <v>-1.2582871059396483E-2</v>
      </c>
      <c r="I610" s="105">
        <v>45007</v>
      </c>
      <c r="J610" s="85">
        <v>40898.69</v>
      </c>
      <c r="K610" s="85">
        <v>40998.39</v>
      </c>
      <c r="L610" s="85">
        <v>40352.46</v>
      </c>
      <c r="M610" s="85">
        <v>40376.1</v>
      </c>
      <c r="N610" s="123">
        <v>67397756</v>
      </c>
      <c r="O610" s="112">
        <f t="shared" si="19"/>
        <v>-1.2277514691283797E-2</v>
      </c>
    </row>
    <row r="611" spans="1:15">
      <c r="A611" s="105">
        <v>45006</v>
      </c>
      <c r="B611" s="85">
        <v>73.5</v>
      </c>
      <c r="C611" s="85">
        <v>74.84</v>
      </c>
      <c r="D611" s="85">
        <v>72.75</v>
      </c>
      <c r="E611" s="85">
        <v>73.91</v>
      </c>
      <c r="F611" s="85">
        <v>318828</v>
      </c>
      <c r="G611" s="112">
        <f t="shared" si="18"/>
        <v>4.075533215595728E-3</v>
      </c>
      <c r="I611" s="105">
        <v>45006</v>
      </c>
      <c r="J611" s="85">
        <v>40929.65</v>
      </c>
      <c r="K611" s="85">
        <v>40990.25</v>
      </c>
      <c r="L611" s="85">
        <v>40696.74</v>
      </c>
      <c r="M611" s="85">
        <v>40877.980000000003</v>
      </c>
      <c r="N611" s="123">
        <v>63394569</v>
      </c>
      <c r="O611" s="112">
        <f t="shared" si="19"/>
        <v>-9.8904039620251183E-4</v>
      </c>
    </row>
    <row r="612" spans="1:15">
      <c r="A612" s="105">
        <v>45005</v>
      </c>
      <c r="B612" s="85">
        <v>74</v>
      </c>
      <c r="C612" s="85">
        <v>75.3</v>
      </c>
      <c r="D612" s="85">
        <v>73.5</v>
      </c>
      <c r="E612" s="85">
        <v>73.61</v>
      </c>
      <c r="F612" s="85">
        <v>1059164</v>
      </c>
      <c r="G612" s="112">
        <f t="shared" si="18"/>
        <v>-2.6451527575717448E-2</v>
      </c>
      <c r="I612" s="105">
        <v>45005</v>
      </c>
      <c r="J612" s="85">
        <v>41334.86</v>
      </c>
      <c r="K612" s="85">
        <v>41398.03</v>
      </c>
      <c r="L612" s="85">
        <v>40909.24</v>
      </c>
      <c r="M612" s="85">
        <v>40918.449999999997</v>
      </c>
      <c r="N612" s="123">
        <v>92207003</v>
      </c>
      <c r="O612" s="112">
        <f t="shared" si="19"/>
        <v>-9.9564601457297064E-3</v>
      </c>
    </row>
    <row r="613" spans="1:15">
      <c r="A613" s="105">
        <v>45002</v>
      </c>
      <c r="B613" s="85">
        <v>77.510000000000005</v>
      </c>
      <c r="C613" s="85">
        <v>79.400000000000006</v>
      </c>
      <c r="D613" s="85">
        <v>74.5</v>
      </c>
      <c r="E613" s="85">
        <v>75.61</v>
      </c>
      <c r="F613" s="85">
        <v>9176555</v>
      </c>
      <c r="G613" s="112">
        <f t="shared" si="18"/>
        <v>-2.1483111168629443E-2</v>
      </c>
      <c r="I613" s="105">
        <v>45002</v>
      </c>
      <c r="J613" s="85">
        <v>41717.93</v>
      </c>
      <c r="K613" s="85">
        <v>41808.879999999997</v>
      </c>
      <c r="L613" s="85">
        <v>41270.81</v>
      </c>
      <c r="M613" s="85">
        <v>41329.949999999997</v>
      </c>
      <c r="N613" s="123">
        <v>93015969</v>
      </c>
      <c r="O613" s="112">
        <f t="shared" si="19"/>
        <v>-8.7336118860010803E-3</v>
      </c>
    </row>
    <row r="614" spans="1:15">
      <c r="A614" s="105">
        <v>45001</v>
      </c>
      <c r="B614" s="85">
        <v>75</v>
      </c>
      <c r="C614" s="85">
        <v>77.5</v>
      </c>
      <c r="D614" s="85">
        <v>75</v>
      </c>
      <c r="E614" s="85">
        <v>77.27</v>
      </c>
      <c r="F614" s="85">
        <v>3058688</v>
      </c>
      <c r="G614" s="112">
        <f t="shared" si="18"/>
        <v>2.141440846001319E-2</v>
      </c>
      <c r="I614" s="105">
        <v>45001</v>
      </c>
      <c r="J614" s="85">
        <v>41959.25</v>
      </c>
      <c r="K614" s="85">
        <v>42123.45</v>
      </c>
      <c r="L614" s="85">
        <v>41641.230000000003</v>
      </c>
      <c r="M614" s="85">
        <v>41694.089999999997</v>
      </c>
      <c r="N614" s="123">
        <v>115108536</v>
      </c>
      <c r="O614" s="112">
        <f t="shared" si="19"/>
        <v>-4.2974119526084653E-3</v>
      </c>
    </row>
    <row r="615" spans="1:15">
      <c r="A615" s="105">
        <v>45000</v>
      </c>
      <c r="B615" s="85">
        <v>73.55</v>
      </c>
      <c r="C615" s="85">
        <v>76.97</v>
      </c>
      <c r="D615" s="85">
        <v>73.55</v>
      </c>
      <c r="E615" s="85">
        <v>75.650000000000006</v>
      </c>
      <c r="F615" s="85">
        <v>4823752</v>
      </c>
      <c r="G615" s="112">
        <f t="shared" si="18"/>
        <v>6.7873303167420573E-3</v>
      </c>
      <c r="I615" s="105">
        <v>45000</v>
      </c>
      <c r="J615" s="85">
        <v>41735.22</v>
      </c>
      <c r="K615" s="85">
        <v>42010.06</v>
      </c>
      <c r="L615" s="85">
        <v>41603.760000000002</v>
      </c>
      <c r="M615" s="85">
        <v>41874.04</v>
      </c>
      <c r="N615" s="123">
        <v>129039165</v>
      </c>
      <c r="O615" s="112">
        <f t="shared" si="19"/>
        <v>1.3776881479361514E-3</v>
      </c>
    </row>
    <row r="616" spans="1:15">
      <c r="A616" s="105">
        <v>44999</v>
      </c>
      <c r="B616" s="85">
        <v>75.790000000000006</v>
      </c>
      <c r="C616" s="85">
        <v>76.150000000000006</v>
      </c>
      <c r="D616" s="85">
        <v>74.63</v>
      </c>
      <c r="E616" s="85">
        <v>75.14</v>
      </c>
      <c r="F616" s="85">
        <v>1293717</v>
      </c>
      <c r="G616" s="112">
        <f t="shared" si="18"/>
        <v>-5.0317796610168664E-3</v>
      </c>
      <c r="I616" s="105">
        <v>44999</v>
      </c>
      <c r="J616" s="85">
        <v>41829.040000000001</v>
      </c>
      <c r="K616" s="85">
        <v>41953.78</v>
      </c>
      <c r="L616" s="85">
        <v>41705.82</v>
      </c>
      <c r="M616" s="85">
        <v>41816.43</v>
      </c>
      <c r="N616" s="123">
        <v>69046313</v>
      </c>
      <c r="O616" s="112">
        <f t="shared" si="19"/>
        <v>-9.6567228542043804E-4</v>
      </c>
    </row>
    <row r="617" spans="1:15">
      <c r="A617" s="105">
        <v>44998</v>
      </c>
      <c r="B617" s="85">
        <v>75.989999999999995</v>
      </c>
      <c r="C617" s="85">
        <v>76.489999999999995</v>
      </c>
      <c r="D617" s="85">
        <v>75.11</v>
      </c>
      <c r="E617" s="85">
        <v>75.52</v>
      </c>
      <c r="F617" s="85">
        <v>953150</v>
      </c>
      <c r="G617" s="112">
        <f t="shared" si="18"/>
        <v>3.3213763783712658E-3</v>
      </c>
      <c r="I617" s="105">
        <v>44998</v>
      </c>
      <c r="J617" s="85">
        <v>41905.949999999997</v>
      </c>
      <c r="K617" s="85">
        <v>42291.77</v>
      </c>
      <c r="L617" s="85">
        <v>41785.480000000003</v>
      </c>
      <c r="M617" s="85">
        <v>41856.85</v>
      </c>
      <c r="N617" s="123">
        <v>112142994</v>
      </c>
      <c r="O617" s="112">
        <f t="shared" si="19"/>
        <v>1.5069195554275883E-3</v>
      </c>
    </row>
    <row r="618" spans="1:15">
      <c r="A618" s="105">
        <v>44995</v>
      </c>
      <c r="B618" s="85">
        <v>74.900000000000006</v>
      </c>
      <c r="C618" s="85">
        <v>75.989999999999995</v>
      </c>
      <c r="D618" s="85">
        <v>74.7</v>
      </c>
      <c r="E618" s="85">
        <v>75.27</v>
      </c>
      <c r="F618" s="85">
        <v>1314955</v>
      </c>
      <c r="G618" s="112">
        <f t="shared" si="18"/>
        <v>6.2834224598931065E-3</v>
      </c>
      <c r="I618" s="105">
        <v>44995</v>
      </c>
      <c r="J618" s="85">
        <v>41668.32</v>
      </c>
      <c r="K618" s="85">
        <v>41902.019999999997</v>
      </c>
      <c r="L618" s="85">
        <v>41668.32</v>
      </c>
      <c r="M618" s="85">
        <v>41793.870000000003</v>
      </c>
      <c r="N618" s="123">
        <v>102284945</v>
      </c>
      <c r="O618" s="112">
        <f t="shared" si="19"/>
        <v>5.0096740357346015E-3</v>
      </c>
    </row>
    <row r="619" spans="1:15">
      <c r="A619" s="105">
        <v>44994</v>
      </c>
      <c r="B619" s="85">
        <v>74.900000000000006</v>
      </c>
      <c r="C619" s="85">
        <v>75.5</v>
      </c>
      <c r="D619" s="85">
        <v>73.55</v>
      </c>
      <c r="E619" s="85">
        <v>74.8</v>
      </c>
      <c r="F619" s="85">
        <v>2483866</v>
      </c>
      <c r="G619" s="112">
        <f t="shared" si="18"/>
        <v>8.0278298100089351E-4</v>
      </c>
      <c r="I619" s="105">
        <v>44994</v>
      </c>
      <c r="J619" s="85">
        <v>41424.47</v>
      </c>
      <c r="K619" s="85">
        <v>41648.080000000002</v>
      </c>
      <c r="L619" s="85">
        <v>41397.980000000003</v>
      </c>
      <c r="M619" s="85">
        <v>41585.54</v>
      </c>
      <c r="N619" s="123">
        <v>113952877</v>
      </c>
      <c r="O619" s="112">
        <f t="shared" si="19"/>
        <v>5.4791069304742646E-3</v>
      </c>
    </row>
    <row r="620" spans="1:15">
      <c r="A620" s="105">
        <v>44993</v>
      </c>
      <c r="B620" s="85">
        <v>74.7</v>
      </c>
      <c r="C620" s="85">
        <v>75.3</v>
      </c>
      <c r="D620" s="85">
        <v>73.7</v>
      </c>
      <c r="E620" s="85">
        <v>74.739999999999995</v>
      </c>
      <c r="F620" s="85">
        <v>3751825</v>
      </c>
      <c r="G620" s="112">
        <f t="shared" si="18"/>
        <v>1.6732417358182428E-2</v>
      </c>
      <c r="I620" s="105">
        <v>44993</v>
      </c>
      <c r="J620" s="85">
        <v>41420.550000000003</v>
      </c>
      <c r="K620" s="85">
        <v>41621.71</v>
      </c>
      <c r="L620" s="85">
        <v>41340.81</v>
      </c>
      <c r="M620" s="85">
        <v>41358.93</v>
      </c>
      <c r="N620" s="123">
        <v>89274553</v>
      </c>
      <c r="O620" s="112">
        <f t="shared" si="19"/>
        <v>5.8643236467958992E-4</v>
      </c>
    </row>
    <row r="621" spans="1:15">
      <c r="A621" s="105">
        <v>44992</v>
      </c>
      <c r="B621" s="85">
        <v>72</v>
      </c>
      <c r="C621" s="85">
        <v>73.95</v>
      </c>
      <c r="D621" s="85">
        <v>71</v>
      </c>
      <c r="E621" s="85">
        <v>73.510000000000005</v>
      </c>
      <c r="F621" s="85">
        <v>2982777</v>
      </c>
      <c r="G621" s="112">
        <f t="shared" si="18"/>
        <v>2.5673224501186143E-2</v>
      </c>
      <c r="I621" s="105">
        <v>44992</v>
      </c>
      <c r="J621" s="85">
        <v>41504.550000000003</v>
      </c>
      <c r="K621" s="85">
        <v>41530.19</v>
      </c>
      <c r="L621" s="85">
        <v>41334.69</v>
      </c>
      <c r="M621" s="85">
        <v>41334.69</v>
      </c>
      <c r="N621" s="123">
        <v>87912789</v>
      </c>
      <c r="O621" s="112">
        <f t="shared" si="19"/>
        <v>-2.4047691853590347E-3</v>
      </c>
    </row>
    <row r="622" spans="1:15">
      <c r="A622" s="105">
        <v>44991</v>
      </c>
      <c r="B622" s="85">
        <v>72.34</v>
      </c>
      <c r="C622" s="85">
        <v>72.34</v>
      </c>
      <c r="D622" s="85">
        <v>70.03</v>
      </c>
      <c r="E622" s="85">
        <v>71.67</v>
      </c>
      <c r="F622" s="85">
        <v>1149366</v>
      </c>
      <c r="G622" s="112">
        <f t="shared" si="18"/>
        <v>1.1174745076127923E-3</v>
      </c>
      <c r="I622" s="105">
        <v>44991</v>
      </c>
      <c r="J622" s="85">
        <v>41429.370000000003</v>
      </c>
      <c r="K622" s="85">
        <v>41797.71</v>
      </c>
      <c r="L622" s="85">
        <v>41344.54</v>
      </c>
      <c r="M622" s="85">
        <v>41434.33</v>
      </c>
      <c r="N622" s="123">
        <v>96270181</v>
      </c>
      <c r="O622" s="112">
        <f t="shared" si="19"/>
        <v>2.3545491932168705E-3</v>
      </c>
    </row>
    <row r="623" spans="1:15">
      <c r="A623" s="105">
        <v>44988</v>
      </c>
      <c r="B623" s="85">
        <v>71.34</v>
      </c>
      <c r="C623" s="85">
        <v>72.489999999999995</v>
      </c>
      <c r="D623" s="85">
        <v>69.260000000000005</v>
      </c>
      <c r="E623" s="85">
        <v>71.59</v>
      </c>
      <c r="F623" s="85">
        <v>2962095</v>
      </c>
      <c r="G623" s="112">
        <f t="shared" si="18"/>
        <v>8.3880889137422088E-4</v>
      </c>
      <c r="I623" s="105">
        <v>44988</v>
      </c>
      <c r="J623" s="85">
        <v>40487.94</v>
      </c>
      <c r="K623" s="85">
        <v>41361.64</v>
      </c>
      <c r="L623" s="85">
        <v>40487.279999999999</v>
      </c>
      <c r="M623" s="85">
        <v>41337</v>
      </c>
      <c r="N623" s="123">
        <v>110676613</v>
      </c>
      <c r="O623" s="112">
        <f t="shared" si="19"/>
        <v>1.6378303100400116E-2</v>
      </c>
    </row>
    <row r="624" spans="1:15">
      <c r="A624" s="105">
        <v>44987</v>
      </c>
      <c r="B624" s="85">
        <v>70.75</v>
      </c>
      <c r="C624" s="85">
        <v>72.5</v>
      </c>
      <c r="D624" s="85">
        <v>69.5</v>
      </c>
      <c r="E624" s="85">
        <v>71.53</v>
      </c>
      <c r="F624" s="85">
        <v>2228981</v>
      </c>
      <c r="G624" s="112">
        <f t="shared" si="18"/>
        <v>2.1565267066552485E-2</v>
      </c>
      <c r="I624" s="105">
        <v>44987</v>
      </c>
      <c r="J624" s="85">
        <v>40382.400000000001</v>
      </c>
      <c r="K624" s="85">
        <v>40856.81</v>
      </c>
      <c r="L624" s="85">
        <v>40340.410000000003</v>
      </c>
      <c r="M624" s="85">
        <v>40670.879999999997</v>
      </c>
      <c r="N624" s="123">
        <v>87704303</v>
      </c>
      <c r="O624" s="112">
        <f t="shared" si="19"/>
        <v>6.3868425747604096E-3</v>
      </c>
    </row>
    <row r="625" spans="1:15">
      <c r="A625" s="105">
        <v>44986</v>
      </c>
      <c r="B625" s="85">
        <v>69.98</v>
      </c>
      <c r="C625" s="85">
        <v>70.739999999999995</v>
      </c>
      <c r="D625" s="85">
        <v>68.099999999999994</v>
      </c>
      <c r="E625" s="85">
        <v>70.02</v>
      </c>
      <c r="F625" s="85">
        <v>2117777</v>
      </c>
      <c r="G625" s="112">
        <f t="shared" si="18"/>
        <v>9.3700446879052546E-3</v>
      </c>
      <c r="I625" s="105">
        <v>44986</v>
      </c>
      <c r="J625" s="85">
        <v>40477.379999999997</v>
      </c>
      <c r="K625" s="85">
        <v>40541.129999999997</v>
      </c>
      <c r="L625" s="85">
        <v>40029.72</v>
      </c>
      <c r="M625" s="85">
        <v>40412.769999999997</v>
      </c>
      <c r="N625" s="123">
        <v>102781379</v>
      </c>
      <c r="O625" s="112">
        <f t="shared" si="19"/>
        <v>-2.4092596537628186E-3</v>
      </c>
    </row>
    <row r="626" spans="1:15">
      <c r="A626" s="105">
        <v>44985</v>
      </c>
      <c r="B626" s="85">
        <v>70.5</v>
      </c>
      <c r="C626" s="85">
        <v>70.73</v>
      </c>
      <c r="D626" s="85">
        <v>69.239999999999995</v>
      </c>
      <c r="E626" s="85">
        <v>69.37</v>
      </c>
      <c r="F626" s="85">
        <v>2530013</v>
      </c>
      <c r="G626" s="112">
        <f t="shared" si="18"/>
        <v>-1.0978043912175606E-2</v>
      </c>
      <c r="I626" s="105">
        <v>44985</v>
      </c>
      <c r="J626" s="85">
        <v>40854.82</v>
      </c>
      <c r="K626" s="85">
        <v>40854.82</v>
      </c>
      <c r="L626" s="85">
        <v>40436.36</v>
      </c>
      <c r="M626" s="85">
        <v>40510.370000000003</v>
      </c>
      <c r="N626" s="123">
        <v>68768929</v>
      </c>
      <c r="O626" s="112">
        <f t="shared" si="19"/>
        <v>-6.7124148535225858E-3</v>
      </c>
    </row>
    <row r="627" spans="1:15">
      <c r="A627" s="105">
        <v>44984</v>
      </c>
      <c r="B627" s="85">
        <v>69.989999999999995</v>
      </c>
      <c r="C627" s="85">
        <v>70.59</v>
      </c>
      <c r="D627" s="85">
        <v>69</v>
      </c>
      <c r="E627" s="85">
        <v>70.14</v>
      </c>
      <c r="F627" s="85">
        <v>6188576</v>
      </c>
      <c r="G627" s="112">
        <f t="shared" si="18"/>
        <v>8.3381253594019267E-3</v>
      </c>
      <c r="I627" s="105">
        <v>44984</v>
      </c>
      <c r="J627" s="85">
        <v>40714.71</v>
      </c>
      <c r="K627" s="85">
        <v>40820.089999999997</v>
      </c>
      <c r="L627" s="85">
        <v>40614.69</v>
      </c>
      <c r="M627" s="85">
        <v>40784.129999999997</v>
      </c>
      <c r="N627" s="123">
        <v>80799560</v>
      </c>
      <c r="O627" s="112">
        <f t="shared" si="19"/>
        <v>1.8760550813898824E-3</v>
      </c>
    </row>
    <row r="628" spans="1:15">
      <c r="A628" s="105">
        <v>44981</v>
      </c>
      <c r="B628" s="85">
        <v>73.5</v>
      </c>
      <c r="C628" s="85">
        <v>74.8</v>
      </c>
      <c r="D628" s="85">
        <v>69.31</v>
      </c>
      <c r="E628" s="85">
        <v>69.56</v>
      </c>
      <c r="F628" s="85">
        <v>1747078</v>
      </c>
      <c r="G628" s="112">
        <f t="shared" si="18"/>
        <v>-5.2057781411828707E-2</v>
      </c>
      <c r="I628" s="105">
        <v>44981</v>
      </c>
      <c r="J628" s="85">
        <v>40847.39</v>
      </c>
      <c r="K628" s="85">
        <v>40979.550000000003</v>
      </c>
      <c r="L628" s="85">
        <v>40681.9</v>
      </c>
      <c r="M628" s="85">
        <v>40707.760000000002</v>
      </c>
      <c r="N628" s="123">
        <v>76072177</v>
      </c>
      <c r="O628" s="112">
        <f t="shared" si="19"/>
        <v>-3.2016349274250899E-3</v>
      </c>
    </row>
    <row r="629" spans="1:15">
      <c r="A629" s="105">
        <v>44980</v>
      </c>
      <c r="B629" s="85">
        <v>75.39</v>
      </c>
      <c r="C629" s="85">
        <v>75.45</v>
      </c>
      <c r="D629" s="85">
        <v>73</v>
      </c>
      <c r="E629" s="85">
        <v>73.38</v>
      </c>
      <c r="F629" s="85">
        <v>634632</v>
      </c>
      <c r="G629" s="112">
        <f t="shared" si="18"/>
        <v>-2.7048528241845782E-2</v>
      </c>
      <c r="I629" s="105">
        <v>44980</v>
      </c>
      <c r="J629" s="85">
        <v>41168.22</v>
      </c>
      <c r="K629" s="85">
        <v>41168.22</v>
      </c>
      <c r="L629" s="85">
        <v>40772.519999999997</v>
      </c>
      <c r="M629" s="85">
        <v>40838.51</v>
      </c>
      <c r="N629" s="123">
        <v>94576734</v>
      </c>
      <c r="O629" s="112">
        <f t="shared" si="19"/>
        <v>-7.9939078304296363E-3</v>
      </c>
    </row>
    <row r="630" spans="1:15">
      <c r="A630" s="105">
        <v>44979</v>
      </c>
      <c r="B630" s="85">
        <v>74.5</v>
      </c>
      <c r="C630" s="85">
        <v>76.5</v>
      </c>
      <c r="D630" s="85">
        <v>73.400000000000006</v>
      </c>
      <c r="E630" s="85">
        <v>75.42</v>
      </c>
      <c r="F630" s="85">
        <v>735903</v>
      </c>
      <c r="G630" s="112">
        <f t="shared" si="18"/>
        <v>1.2620837808807739E-2</v>
      </c>
      <c r="I630" s="105">
        <v>44979</v>
      </c>
      <c r="J630" s="85">
        <v>40991.589999999997</v>
      </c>
      <c r="K630" s="85">
        <v>41212.949999999997</v>
      </c>
      <c r="L630" s="85">
        <v>40923.03</v>
      </c>
      <c r="M630" s="85">
        <v>41167.599999999999</v>
      </c>
      <c r="N630" s="123">
        <v>102581432</v>
      </c>
      <c r="O630" s="112">
        <f t="shared" si="19"/>
        <v>5.3177252951415177E-3</v>
      </c>
    </row>
    <row r="631" spans="1:15">
      <c r="A631" s="105">
        <v>44978</v>
      </c>
      <c r="B631" s="85">
        <v>75.89</v>
      </c>
      <c r="C631" s="85">
        <v>75.989999999999995</v>
      </c>
      <c r="D631" s="85">
        <v>74.03</v>
      </c>
      <c r="E631" s="85">
        <v>74.48</v>
      </c>
      <c r="F631" s="85">
        <v>373135</v>
      </c>
      <c r="G631" s="112">
        <f t="shared" si="18"/>
        <v>-6.0056052315494712E-3</v>
      </c>
      <c r="I631" s="105">
        <v>44978</v>
      </c>
      <c r="J631" s="85">
        <v>40776.129999999997</v>
      </c>
      <c r="K631" s="85">
        <v>40966.71</v>
      </c>
      <c r="L631" s="85">
        <v>40751.25</v>
      </c>
      <c r="M631" s="85">
        <v>40949.839999999997</v>
      </c>
      <c r="N631" s="123">
        <v>55299910</v>
      </c>
      <c r="O631" s="112">
        <f t="shared" si="19"/>
        <v>6.7906388511083104E-3</v>
      </c>
    </row>
    <row r="632" spans="1:15">
      <c r="A632" s="105">
        <v>44977</v>
      </c>
      <c r="B632" s="85">
        <v>77</v>
      </c>
      <c r="C632" s="85">
        <v>77</v>
      </c>
      <c r="D632" s="85">
        <v>74.319999999999993</v>
      </c>
      <c r="E632" s="85">
        <v>74.930000000000007</v>
      </c>
      <c r="F632" s="85">
        <v>399563</v>
      </c>
      <c r="G632" s="112">
        <f t="shared" si="18"/>
        <v>-2.6124252664413761E-2</v>
      </c>
      <c r="I632" s="105">
        <v>44977</v>
      </c>
      <c r="J632" s="85">
        <v>41152.53</v>
      </c>
      <c r="K632" s="85">
        <v>41169.43</v>
      </c>
      <c r="L632" s="85">
        <v>40623.97</v>
      </c>
      <c r="M632" s="85">
        <v>40673.64</v>
      </c>
      <c r="N632" s="123">
        <v>54102778</v>
      </c>
      <c r="O632" s="112">
        <f t="shared" si="19"/>
        <v>-1.0821620672488708E-2</v>
      </c>
    </row>
    <row r="633" spans="1:15">
      <c r="A633" s="105">
        <v>44974</v>
      </c>
      <c r="B633" s="85">
        <v>76.8</v>
      </c>
      <c r="C633" s="85">
        <v>77.89</v>
      </c>
      <c r="D633" s="85">
        <v>75.5</v>
      </c>
      <c r="E633" s="85">
        <v>76.94</v>
      </c>
      <c r="F633" s="85">
        <v>1178941</v>
      </c>
      <c r="G633" s="112">
        <f t="shared" si="18"/>
        <v>1.9533793462689353E-3</v>
      </c>
      <c r="I633" s="105">
        <v>44974</v>
      </c>
      <c r="J633" s="85">
        <v>41076.83</v>
      </c>
      <c r="K633" s="85">
        <v>41214.07</v>
      </c>
      <c r="L633" s="85">
        <v>40964.980000000003</v>
      </c>
      <c r="M633" s="85">
        <v>41118.61</v>
      </c>
      <c r="N633" s="123">
        <v>65470949</v>
      </c>
      <c r="O633" s="112">
        <f t="shared" si="19"/>
        <v>9.7276809242763385E-4</v>
      </c>
    </row>
    <row r="634" spans="1:15">
      <c r="A634" s="105">
        <v>44973</v>
      </c>
      <c r="B634" s="85">
        <v>79.400000000000006</v>
      </c>
      <c r="C634" s="85">
        <v>79.400000000000006</v>
      </c>
      <c r="D634" s="85">
        <v>76.5</v>
      </c>
      <c r="E634" s="85">
        <v>76.790000000000006</v>
      </c>
      <c r="F634" s="85">
        <v>1180501</v>
      </c>
      <c r="G634" s="112">
        <f t="shared" si="18"/>
        <v>-2.190803719271428E-2</v>
      </c>
      <c r="I634" s="105">
        <v>44973</v>
      </c>
      <c r="J634" s="85">
        <v>41405.379999999997</v>
      </c>
      <c r="K634" s="85">
        <v>41619.199999999997</v>
      </c>
      <c r="L634" s="85">
        <v>41024.78</v>
      </c>
      <c r="M634" s="85">
        <v>41078.65</v>
      </c>
      <c r="N634" s="123">
        <v>95701402</v>
      </c>
      <c r="O634" s="112">
        <f t="shared" si="19"/>
        <v>-6.0057807454475531E-3</v>
      </c>
    </row>
    <row r="635" spans="1:15">
      <c r="A635" s="105">
        <v>44972</v>
      </c>
      <c r="B635" s="85">
        <v>77.3</v>
      </c>
      <c r="C635" s="85">
        <v>79.5</v>
      </c>
      <c r="D635" s="85">
        <v>75.25</v>
      </c>
      <c r="E635" s="85">
        <v>78.510000000000005</v>
      </c>
      <c r="F635" s="85">
        <v>2352267</v>
      </c>
      <c r="G635" s="112">
        <f t="shared" si="18"/>
        <v>2.9504327301337563E-2</v>
      </c>
      <c r="I635" s="105">
        <v>44972</v>
      </c>
      <c r="J635" s="85">
        <v>41115.96</v>
      </c>
      <c r="K635" s="85">
        <v>41457.760000000002</v>
      </c>
      <c r="L635" s="85">
        <v>40918.85</v>
      </c>
      <c r="M635" s="85">
        <v>41326.85</v>
      </c>
      <c r="N635" s="123">
        <v>90086916</v>
      </c>
      <c r="O635" s="112">
        <f t="shared" si="19"/>
        <v>4.2937864640135714E-3</v>
      </c>
    </row>
    <row r="636" spans="1:15">
      <c r="A636" s="105">
        <v>44971</v>
      </c>
      <c r="B636" s="85">
        <v>79.489999999999995</v>
      </c>
      <c r="C636" s="85">
        <v>79.489999999999995</v>
      </c>
      <c r="D636" s="85">
        <v>76.010000000000005</v>
      </c>
      <c r="E636" s="85">
        <v>76.260000000000005</v>
      </c>
      <c r="F636" s="85">
        <v>662428</v>
      </c>
      <c r="G636" s="112">
        <f t="shared" si="18"/>
        <v>-3.2847178186429793E-2</v>
      </c>
      <c r="I636" s="105">
        <v>44971</v>
      </c>
      <c r="J636" s="85">
        <v>41819.769999999997</v>
      </c>
      <c r="K636" s="85">
        <v>41848.76</v>
      </c>
      <c r="L636" s="85">
        <v>41047.03</v>
      </c>
      <c r="M636" s="85">
        <v>41150.160000000003</v>
      </c>
      <c r="N636" s="123">
        <v>107824712</v>
      </c>
      <c r="O636" s="112">
        <f t="shared" si="19"/>
        <v>-1.3586563734884538E-2</v>
      </c>
    </row>
    <row r="637" spans="1:15">
      <c r="A637" s="105">
        <v>44970</v>
      </c>
      <c r="B637" s="85">
        <v>78.98</v>
      </c>
      <c r="C637" s="85">
        <v>80</v>
      </c>
      <c r="D637" s="85">
        <v>77.900000000000006</v>
      </c>
      <c r="E637" s="85">
        <v>78.849999999999994</v>
      </c>
      <c r="F637" s="85">
        <v>2463261</v>
      </c>
      <c r="G637" s="112">
        <f t="shared" si="18"/>
        <v>3.5637011582028144E-3</v>
      </c>
      <c r="I637" s="105">
        <v>44970</v>
      </c>
      <c r="J637" s="85">
        <v>41726.129999999997</v>
      </c>
      <c r="K637" s="85">
        <v>41992.53</v>
      </c>
      <c r="L637" s="85">
        <v>41640.57</v>
      </c>
      <c r="M637" s="85">
        <v>41716.949999999997</v>
      </c>
      <c r="N637" s="123">
        <v>110589112</v>
      </c>
      <c r="O637" s="112">
        <f t="shared" si="19"/>
        <v>-5.9484765623318836E-4</v>
      </c>
    </row>
    <row r="638" spans="1:15">
      <c r="A638" s="105">
        <v>44967</v>
      </c>
      <c r="B638" s="85">
        <v>77.599999999999994</v>
      </c>
      <c r="C638" s="85">
        <v>81.89</v>
      </c>
      <c r="D638" s="85">
        <v>77.099999999999994</v>
      </c>
      <c r="E638" s="85">
        <v>78.569999999999993</v>
      </c>
      <c r="F638" s="85">
        <v>6746833</v>
      </c>
      <c r="G638" s="112">
        <f t="shared" si="18"/>
        <v>2.5461489497136114E-4</v>
      </c>
      <c r="I638" s="105">
        <v>44967</v>
      </c>
      <c r="J638" s="85">
        <v>42058.19</v>
      </c>
      <c r="K638" s="85">
        <v>42552.4</v>
      </c>
      <c r="L638" s="85">
        <v>41662.18</v>
      </c>
      <c r="M638" s="85">
        <v>41741.78</v>
      </c>
      <c r="N638" s="123">
        <v>190177043</v>
      </c>
      <c r="O638" s="112">
        <f t="shared" si="19"/>
        <v>-1.7067770216539602E-2</v>
      </c>
    </row>
    <row r="639" spans="1:15">
      <c r="A639" s="105">
        <v>44966</v>
      </c>
      <c r="B639" s="85">
        <v>75.739999999999995</v>
      </c>
      <c r="C639" s="85">
        <v>79.739999999999995</v>
      </c>
      <c r="D639" s="85">
        <v>75.739999999999995</v>
      </c>
      <c r="E639" s="85">
        <v>78.55</v>
      </c>
      <c r="F639" s="85">
        <v>6601780</v>
      </c>
      <c r="G639" s="112">
        <f t="shared" si="18"/>
        <v>4.5521096765606339E-2</v>
      </c>
      <c r="I639" s="105">
        <v>44966</v>
      </c>
      <c r="J639" s="85">
        <v>41886.379999999997</v>
      </c>
      <c r="K639" s="85">
        <v>42573.3</v>
      </c>
      <c r="L639" s="85">
        <v>41862.949999999997</v>
      </c>
      <c r="M639" s="85">
        <v>42466.59</v>
      </c>
      <c r="N639" s="123">
        <v>205352059</v>
      </c>
      <c r="O639" s="112">
        <f t="shared" si="19"/>
        <v>1.7814258309261977E-2</v>
      </c>
    </row>
    <row r="640" spans="1:15">
      <c r="A640" s="105">
        <v>44965</v>
      </c>
      <c r="B640" s="85">
        <v>75</v>
      </c>
      <c r="C640" s="85">
        <v>76.95</v>
      </c>
      <c r="D640" s="85">
        <v>74.5</v>
      </c>
      <c r="E640" s="85">
        <v>75.13</v>
      </c>
      <c r="F640" s="85">
        <v>8611564</v>
      </c>
      <c r="G640" s="112">
        <f t="shared" si="18"/>
        <v>1.2397251044333757E-2</v>
      </c>
      <c r="I640" s="105">
        <v>44965</v>
      </c>
      <c r="J640" s="85">
        <v>41525.94</v>
      </c>
      <c r="K640" s="85">
        <v>41848.71</v>
      </c>
      <c r="L640" s="85">
        <v>41404.620000000003</v>
      </c>
      <c r="M640" s="85">
        <v>41723.32</v>
      </c>
      <c r="N640" s="123">
        <v>147379705</v>
      </c>
      <c r="O640" s="112">
        <f t="shared" si="19"/>
        <v>4.8301220824433777E-3</v>
      </c>
    </row>
    <row r="641" spans="1:15">
      <c r="A641" s="105">
        <v>44964</v>
      </c>
      <c r="B641" s="85">
        <v>73.55</v>
      </c>
      <c r="C641" s="85">
        <v>75</v>
      </c>
      <c r="D641" s="85">
        <v>73.5</v>
      </c>
      <c r="E641" s="85">
        <v>74.209999999999994</v>
      </c>
      <c r="F641" s="85">
        <v>4774538</v>
      </c>
      <c r="G641" s="112">
        <f t="shared" si="18"/>
        <v>5.2831211053914195E-3</v>
      </c>
      <c r="I641" s="105">
        <v>44964</v>
      </c>
      <c r="J641" s="85">
        <v>41469.64</v>
      </c>
      <c r="K641" s="85">
        <v>41767.67</v>
      </c>
      <c r="L641" s="85">
        <v>41361.550000000003</v>
      </c>
      <c r="M641" s="85">
        <v>41522.76</v>
      </c>
      <c r="N641" s="123">
        <v>156313502</v>
      </c>
      <c r="O641" s="112">
        <f t="shared" si="19"/>
        <v>8.0598153421265195E-3</v>
      </c>
    </row>
    <row r="642" spans="1:15">
      <c r="A642" s="105">
        <v>44963</v>
      </c>
      <c r="B642" s="85">
        <v>73.650000000000006</v>
      </c>
      <c r="C642" s="85">
        <v>74.75</v>
      </c>
      <c r="D642" s="85">
        <v>72.989999999999995</v>
      </c>
      <c r="E642" s="85">
        <v>73.819999999999993</v>
      </c>
      <c r="F642" s="85">
        <v>2747178</v>
      </c>
      <c r="G642" s="112">
        <f t="shared" si="18"/>
        <v>7.5064828715709631E-3</v>
      </c>
      <c r="I642" s="105">
        <v>44963</v>
      </c>
      <c r="J642" s="85">
        <v>40745.800000000003</v>
      </c>
      <c r="K642" s="85">
        <v>41302.29</v>
      </c>
      <c r="L642" s="85">
        <v>40617.230000000003</v>
      </c>
      <c r="M642" s="85">
        <v>41190.769999999997</v>
      </c>
      <c r="N642" s="123">
        <v>125547707</v>
      </c>
      <c r="O642" s="112">
        <f t="shared" si="19"/>
        <v>1.7780809840884038E-2</v>
      </c>
    </row>
    <row r="643" spans="1:15">
      <c r="A643" s="105">
        <v>44960</v>
      </c>
      <c r="B643" s="85">
        <v>73</v>
      </c>
      <c r="C643" s="85">
        <v>74.099999999999994</v>
      </c>
      <c r="D643" s="85">
        <v>72.06</v>
      </c>
      <c r="E643" s="85">
        <v>73.27</v>
      </c>
      <c r="F643" s="85">
        <v>1100144</v>
      </c>
      <c r="G643" s="112">
        <f t="shared" si="18"/>
        <v>3.9736914223074127E-3</v>
      </c>
      <c r="I643" s="105">
        <v>44960</v>
      </c>
      <c r="J643" s="85">
        <v>40748.07</v>
      </c>
      <c r="K643" s="85">
        <v>40874.65</v>
      </c>
      <c r="L643" s="85">
        <v>40329.75</v>
      </c>
      <c r="M643" s="85">
        <v>40471.160000000003</v>
      </c>
      <c r="N643" s="123">
        <v>60688468</v>
      </c>
      <c r="O643" s="112">
        <f t="shared" si="19"/>
        <v>-6.4406430970470607E-3</v>
      </c>
    </row>
    <row r="644" spans="1:15">
      <c r="A644" s="105">
        <v>44959</v>
      </c>
      <c r="B644" s="85">
        <v>72.989999999999995</v>
      </c>
      <c r="C644" s="85">
        <v>73.150000000000006</v>
      </c>
      <c r="D644" s="85">
        <v>71.56</v>
      </c>
      <c r="E644" s="85">
        <v>72.98</v>
      </c>
      <c r="F644" s="85">
        <v>1219556</v>
      </c>
      <c r="G644" s="112">
        <f t="shared" ref="G644:G707" si="20">E644/E645-1</f>
        <v>7.8718409059523875E-3</v>
      </c>
      <c r="I644" s="105">
        <v>44959</v>
      </c>
      <c r="J644" s="85">
        <v>40683.46</v>
      </c>
      <c r="K644" s="85">
        <v>40827.86</v>
      </c>
      <c r="L644" s="85">
        <v>40444.910000000003</v>
      </c>
      <c r="M644" s="85">
        <v>40733.51</v>
      </c>
      <c r="N644" s="123">
        <v>66821222</v>
      </c>
      <c r="O644" s="112">
        <f t="shared" ref="O644:O707" si="21">M644/M645-1</f>
        <v>2.795917473044085E-3</v>
      </c>
    </row>
    <row r="645" spans="1:15">
      <c r="A645" s="105">
        <v>44958</v>
      </c>
      <c r="B645" s="85">
        <v>71.81</v>
      </c>
      <c r="C645" s="85">
        <v>74.5</v>
      </c>
      <c r="D645" s="85">
        <v>71.81</v>
      </c>
      <c r="E645" s="85">
        <v>72.41</v>
      </c>
      <c r="F645" s="85">
        <v>6169725</v>
      </c>
      <c r="G645" s="112">
        <f t="shared" si="20"/>
        <v>1.7985611510791255E-3</v>
      </c>
      <c r="I645" s="105">
        <v>44958</v>
      </c>
      <c r="J645" s="85">
        <v>40793.160000000003</v>
      </c>
      <c r="K645" s="85">
        <v>40986.589999999997</v>
      </c>
      <c r="L645" s="85">
        <v>40611.15</v>
      </c>
      <c r="M645" s="85">
        <v>40619.94</v>
      </c>
      <c r="N645" s="123">
        <v>86373746</v>
      </c>
      <c r="O645" s="112">
        <f t="shared" si="21"/>
        <v>-1.3060241840666675E-3</v>
      </c>
    </row>
    <row r="646" spans="1:15">
      <c r="A646" s="105">
        <v>44957</v>
      </c>
      <c r="B646" s="85">
        <v>73.650000000000006</v>
      </c>
      <c r="C646" s="85">
        <v>73.94</v>
      </c>
      <c r="D646" s="85">
        <v>72</v>
      </c>
      <c r="E646" s="85">
        <v>72.28</v>
      </c>
      <c r="F646" s="85">
        <v>1474564</v>
      </c>
      <c r="G646" s="112">
        <f t="shared" si="20"/>
        <v>-1.0676156583629859E-2</v>
      </c>
      <c r="I646" s="105">
        <v>44957</v>
      </c>
      <c r="J646" s="85">
        <v>40083.440000000002</v>
      </c>
      <c r="K646" s="85">
        <v>40717.33</v>
      </c>
      <c r="L646" s="85">
        <v>40065.93</v>
      </c>
      <c r="M646" s="85">
        <v>40673.06</v>
      </c>
      <c r="N646" s="123">
        <v>93012682</v>
      </c>
      <c r="O646" s="112">
        <f t="shared" si="21"/>
        <v>2.0109467293116134E-2</v>
      </c>
    </row>
    <row r="647" spans="1:15">
      <c r="A647" s="105">
        <v>44956</v>
      </c>
      <c r="B647" s="85">
        <v>75.95</v>
      </c>
      <c r="C647" s="85">
        <v>76.5</v>
      </c>
      <c r="D647" s="85">
        <v>72.25</v>
      </c>
      <c r="E647" s="85">
        <v>73.06</v>
      </c>
      <c r="F647" s="85">
        <v>1799948</v>
      </c>
      <c r="G647" s="112">
        <f t="shared" si="20"/>
        <v>-4.3216343635411159E-2</v>
      </c>
      <c r="I647" s="105">
        <v>44956</v>
      </c>
      <c r="J647" s="85">
        <v>40460.54</v>
      </c>
      <c r="K647" s="85">
        <v>40667.43</v>
      </c>
      <c r="L647" s="85">
        <v>39842.85</v>
      </c>
      <c r="M647" s="85">
        <v>39871.269999999997</v>
      </c>
      <c r="N647" s="123">
        <v>78508160</v>
      </c>
      <c r="O647" s="112">
        <f t="shared" si="21"/>
        <v>-1.4320207918165795E-2</v>
      </c>
    </row>
    <row r="648" spans="1:15">
      <c r="A648" s="105">
        <v>44953</v>
      </c>
      <c r="B648" s="85">
        <v>77.5</v>
      </c>
      <c r="C648" s="85">
        <v>78.45</v>
      </c>
      <c r="D648" s="85">
        <v>75.150000000000006</v>
      </c>
      <c r="E648" s="85">
        <v>76.36</v>
      </c>
      <c r="F648" s="85">
        <v>8556359</v>
      </c>
      <c r="G648" s="112">
        <f t="shared" si="20"/>
        <v>4.4596443228454241E-2</v>
      </c>
      <c r="I648" s="105">
        <v>44953</v>
      </c>
      <c r="J648" s="85">
        <v>41023.35</v>
      </c>
      <c r="K648" s="85">
        <v>41095.85</v>
      </c>
      <c r="L648" s="85">
        <v>40402.720000000001</v>
      </c>
      <c r="M648" s="85">
        <v>40450.53</v>
      </c>
      <c r="N648" s="123">
        <v>112883091</v>
      </c>
      <c r="O648" s="112">
        <f t="shared" si="21"/>
        <v>-9.6948259742014598E-3</v>
      </c>
    </row>
    <row r="649" spans="1:15">
      <c r="A649" s="105">
        <v>44952</v>
      </c>
      <c r="B649" s="85">
        <v>70.5</v>
      </c>
      <c r="C649" s="85">
        <v>73.099999999999994</v>
      </c>
      <c r="D649" s="85">
        <v>70.5</v>
      </c>
      <c r="E649" s="85">
        <v>73.099999999999994</v>
      </c>
      <c r="F649" s="85">
        <v>8725035</v>
      </c>
      <c r="G649" s="112">
        <f t="shared" si="20"/>
        <v>7.4999999999999956E-2</v>
      </c>
      <c r="I649" s="105">
        <v>44952</v>
      </c>
      <c r="J649" s="85">
        <v>39906.74</v>
      </c>
      <c r="K649" s="85">
        <v>40994.69</v>
      </c>
      <c r="L649" s="85">
        <v>39906.74</v>
      </c>
      <c r="M649" s="85">
        <v>40846.53</v>
      </c>
      <c r="N649" s="123">
        <v>235305755</v>
      </c>
      <c r="O649" s="112">
        <f t="shared" si="21"/>
        <v>2.6684244524932677E-2</v>
      </c>
    </row>
    <row r="650" spans="1:15">
      <c r="A650" s="105">
        <v>44951</v>
      </c>
      <c r="B650" s="85">
        <v>64.400000000000006</v>
      </c>
      <c r="C650" s="85">
        <v>68</v>
      </c>
      <c r="D650" s="85">
        <v>63.5</v>
      </c>
      <c r="E650" s="85">
        <v>68</v>
      </c>
      <c r="F650" s="85">
        <v>4073727</v>
      </c>
      <c r="G650" s="112">
        <f t="shared" si="20"/>
        <v>7.4928865001580913E-2</v>
      </c>
      <c r="I650" s="105">
        <v>44951</v>
      </c>
      <c r="J650" s="85">
        <v>39224.75</v>
      </c>
      <c r="K650" s="85">
        <v>39946.589999999997</v>
      </c>
      <c r="L650" s="85">
        <v>39224.75</v>
      </c>
      <c r="M650" s="85">
        <v>39784.9</v>
      </c>
      <c r="N650" s="123">
        <v>148829518</v>
      </c>
      <c r="O650" s="112">
        <f t="shared" si="21"/>
        <v>1.8672074334955324E-2</v>
      </c>
    </row>
    <row r="651" spans="1:15">
      <c r="A651" s="105">
        <v>44950</v>
      </c>
      <c r="B651" s="85">
        <v>60.7</v>
      </c>
      <c r="C651" s="85">
        <v>63.59</v>
      </c>
      <c r="D651" s="85">
        <v>60.7</v>
      </c>
      <c r="E651" s="85">
        <v>63.26</v>
      </c>
      <c r="F651" s="85">
        <v>466645</v>
      </c>
      <c r="G651" s="112">
        <f t="shared" si="20"/>
        <v>2.495139338950092E-2</v>
      </c>
      <c r="I651" s="105">
        <v>44950</v>
      </c>
      <c r="J651" s="85">
        <v>38551.449999999997</v>
      </c>
      <c r="K651" s="85">
        <v>39091.699999999997</v>
      </c>
      <c r="L651" s="85">
        <v>38490.58</v>
      </c>
      <c r="M651" s="85">
        <v>39055.65</v>
      </c>
      <c r="N651" s="123">
        <v>100210397</v>
      </c>
      <c r="O651" s="112">
        <f t="shared" si="21"/>
        <v>1.5920989689048426E-2</v>
      </c>
    </row>
    <row r="652" spans="1:15">
      <c r="A652" s="105">
        <v>44949</v>
      </c>
      <c r="B652" s="85">
        <v>62</v>
      </c>
      <c r="C652" s="85">
        <v>62</v>
      </c>
      <c r="D652" s="85">
        <v>60.52</v>
      </c>
      <c r="E652" s="85">
        <v>61.72</v>
      </c>
      <c r="F652" s="85">
        <v>239903</v>
      </c>
      <c r="G652" s="112">
        <f t="shared" si="20"/>
        <v>3.2414910858991064E-4</v>
      </c>
      <c r="I652" s="105">
        <v>44949</v>
      </c>
      <c r="J652" s="85">
        <v>38454.81</v>
      </c>
      <c r="K652" s="85">
        <v>38553.120000000003</v>
      </c>
      <c r="L652" s="85">
        <v>38135.53</v>
      </c>
      <c r="M652" s="85">
        <v>38443.589999999997</v>
      </c>
      <c r="N652" s="123">
        <v>38406491</v>
      </c>
      <c r="O652" s="112">
        <f t="shared" si="21"/>
        <v>9.2715107641683225E-4</v>
      </c>
    </row>
    <row r="653" spans="1:15">
      <c r="A653" s="105">
        <v>44946</v>
      </c>
      <c r="B653" s="85">
        <v>62.5</v>
      </c>
      <c r="C653" s="85">
        <v>63.8</v>
      </c>
      <c r="D653" s="85">
        <v>61</v>
      </c>
      <c r="E653" s="85">
        <v>61.7</v>
      </c>
      <c r="F653" s="85">
        <v>1032972</v>
      </c>
      <c r="G653" s="112">
        <f t="shared" si="20"/>
        <v>-7.8790802379803404E-3</v>
      </c>
      <c r="I653" s="105">
        <v>44946</v>
      </c>
      <c r="J653" s="85">
        <v>38857.050000000003</v>
      </c>
      <c r="K653" s="85">
        <v>38982.769999999997</v>
      </c>
      <c r="L653" s="85">
        <v>38291.699999999997</v>
      </c>
      <c r="M653" s="85">
        <v>38407.980000000003</v>
      </c>
      <c r="N653" s="123">
        <v>51555451</v>
      </c>
      <c r="O653" s="112">
        <f t="shared" si="21"/>
        <v>-1.0908647034192254E-2</v>
      </c>
    </row>
    <row r="654" spans="1:15">
      <c r="A654" s="105">
        <v>44945</v>
      </c>
      <c r="B654" s="85">
        <v>61.97</v>
      </c>
      <c r="C654" s="85">
        <v>62.5</v>
      </c>
      <c r="D654" s="85">
        <v>60.05</v>
      </c>
      <c r="E654" s="85">
        <v>62.19</v>
      </c>
      <c r="F654" s="85">
        <v>729812</v>
      </c>
      <c r="G654" s="112">
        <f t="shared" si="20"/>
        <v>3.2263268269074885E-3</v>
      </c>
      <c r="I654" s="105">
        <v>44945</v>
      </c>
      <c r="J654" s="85">
        <v>38890.949999999997</v>
      </c>
      <c r="K654" s="85">
        <v>39065.81</v>
      </c>
      <c r="L654" s="85">
        <v>38730.300000000003</v>
      </c>
      <c r="M654" s="85">
        <v>38831.58</v>
      </c>
      <c r="N654" s="123">
        <v>92575909</v>
      </c>
      <c r="O654" s="112">
        <f t="shared" si="21"/>
        <v>1.0437963975749032E-3</v>
      </c>
    </row>
    <row r="655" spans="1:15">
      <c r="A655" s="105">
        <v>44944</v>
      </c>
      <c r="B655" s="85">
        <v>61.3</v>
      </c>
      <c r="C655" s="85">
        <v>62.4</v>
      </c>
      <c r="D655" s="85">
        <v>61</v>
      </c>
      <c r="E655" s="85">
        <v>61.99</v>
      </c>
      <c r="F655" s="85">
        <v>461778</v>
      </c>
      <c r="G655" s="112">
        <f t="shared" si="20"/>
        <v>9.6091205211727981E-3</v>
      </c>
      <c r="I655" s="105">
        <v>44944</v>
      </c>
      <c r="J655" s="85">
        <v>38339.56</v>
      </c>
      <c r="K655" s="85">
        <v>38945.97</v>
      </c>
      <c r="L655" s="85">
        <v>38257.56</v>
      </c>
      <c r="M655" s="85">
        <v>38791.089999999997</v>
      </c>
      <c r="N655" s="123">
        <v>81032775</v>
      </c>
      <c r="O655" s="112">
        <f t="shared" si="21"/>
        <v>1.1707202062687605E-2</v>
      </c>
    </row>
    <row r="656" spans="1:15">
      <c r="A656" s="105">
        <v>44943</v>
      </c>
      <c r="B656" s="85">
        <v>62.98</v>
      </c>
      <c r="C656" s="85">
        <v>62.98</v>
      </c>
      <c r="D656" s="85">
        <v>60.9</v>
      </c>
      <c r="E656" s="85">
        <v>61.4</v>
      </c>
      <c r="F656" s="85">
        <v>426538</v>
      </c>
      <c r="G656" s="112">
        <f t="shared" si="20"/>
        <v>-5.989962765096446E-3</v>
      </c>
      <c r="I656" s="105">
        <v>44943</v>
      </c>
      <c r="J656" s="85">
        <v>39776.199999999997</v>
      </c>
      <c r="K656" s="85">
        <v>39942.51</v>
      </c>
      <c r="L656" s="85">
        <v>38287.81</v>
      </c>
      <c r="M656" s="85">
        <v>38342.21</v>
      </c>
      <c r="N656" s="123">
        <v>125779196</v>
      </c>
      <c r="O656" s="112">
        <f t="shared" si="21"/>
        <v>-3.4705789795006381E-2</v>
      </c>
    </row>
    <row r="657" spans="1:15">
      <c r="A657" s="105">
        <v>44942</v>
      </c>
      <c r="B657" s="85">
        <v>63.15</v>
      </c>
      <c r="C657" s="85">
        <v>63.15</v>
      </c>
      <c r="D657" s="85">
        <v>60.99</v>
      </c>
      <c r="E657" s="85">
        <v>61.77</v>
      </c>
      <c r="F657" s="85">
        <v>134620</v>
      </c>
      <c r="G657" s="112">
        <f t="shared" si="20"/>
        <v>-9.6200096200095286E-3</v>
      </c>
      <c r="I657" s="105">
        <v>44942</v>
      </c>
      <c r="J657" s="85">
        <v>40344.26</v>
      </c>
      <c r="K657" s="85">
        <v>40355.57</v>
      </c>
      <c r="L657" s="85">
        <v>39660.75</v>
      </c>
      <c r="M657" s="85">
        <v>39720.75</v>
      </c>
      <c r="N657" s="123">
        <v>52067144</v>
      </c>
      <c r="O657" s="112">
        <f t="shared" si="21"/>
        <v>-1.4946637750489988E-2</v>
      </c>
    </row>
    <row r="658" spans="1:15">
      <c r="A658" s="105">
        <v>44939</v>
      </c>
      <c r="B658" s="85">
        <v>62.3</v>
      </c>
      <c r="C658" s="85">
        <v>62.95</v>
      </c>
      <c r="D658" s="85">
        <v>61.74</v>
      </c>
      <c r="E658" s="85">
        <v>62.37</v>
      </c>
      <c r="F658" s="85">
        <v>133141</v>
      </c>
      <c r="G658" s="112">
        <f t="shared" si="20"/>
        <v>-8.426073131955536E-3</v>
      </c>
      <c r="I658" s="105">
        <v>44939</v>
      </c>
      <c r="J658" s="85">
        <v>40533.440000000002</v>
      </c>
      <c r="K658" s="85">
        <v>40583.89</v>
      </c>
      <c r="L658" s="85">
        <v>40195.67</v>
      </c>
      <c r="M658" s="85">
        <v>40323.449999999997</v>
      </c>
      <c r="N658" s="123">
        <v>66550004</v>
      </c>
      <c r="O658" s="112">
        <f t="shared" si="21"/>
        <v>-1.1774367590933199E-2</v>
      </c>
    </row>
    <row r="659" spans="1:15">
      <c r="A659" s="105">
        <v>44938</v>
      </c>
      <c r="B659" s="85">
        <v>63.94</v>
      </c>
      <c r="C659" s="85">
        <v>63.96</v>
      </c>
      <c r="D659" s="85">
        <v>62.8</v>
      </c>
      <c r="E659" s="85">
        <v>62.9</v>
      </c>
      <c r="F659" s="85">
        <v>277856</v>
      </c>
      <c r="G659" s="112">
        <f t="shared" si="20"/>
        <v>-4.746835443038E-3</v>
      </c>
      <c r="I659" s="105">
        <v>44938</v>
      </c>
      <c r="J659" s="85">
        <v>40755.93</v>
      </c>
      <c r="K659" s="85">
        <v>41219.67</v>
      </c>
      <c r="L659" s="85">
        <v>40668.480000000003</v>
      </c>
      <c r="M659" s="85">
        <v>40803.89</v>
      </c>
      <c r="N659" s="123">
        <v>83915453</v>
      </c>
      <c r="O659" s="112">
        <f t="shared" si="21"/>
        <v>1.1210014181195493E-3</v>
      </c>
    </row>
    <row r="660" spans="1:15">
      <c r="A660" s="105">
        <v>44937</v>
      </c>
      <c r="B660" s="85">
        <v>62.5</v>
      </c>
      <c r="C660" s="85">
        <v>63.5</v>
      </c>
      <c r="D660" s="85">
        <v>62.3</v>
      </c>
      <c r="E660" s="85">
        <v>63.2</v>
      </c>
      <c r="F660" s="85">
        <v>288783</v>
      </c>
      <c r="G660" s="112">
        <f t="shared" si="20"/>
        <v>1.1361817890862547E-2</v>
      </c>
      <c r="I660" s="105">
        <v>44937</v>
      </c>
      <c r="J660" s="85">
        <v>40898.93</v>
      </c>
      <c r="K660" s="85">
        <v>40988.28</v>
      </c>
      <c r="L660" s="85">
        <v>40594.949999999997</v>
      </c>
      <c r="M660" s="85">
        <v>40758.199999999997</v>
      </c>
      <c r="N660" s="123">
        <v>109796541</v>
      </c>
      <c r="O660" s="112">
        <f t="shared" si="21"/>
        <v>-1.0612354937932222E-3</v>
      </c>
    </row>
    <row r="661" spans="1:15">
      <c r="A661" s="105">
        <v>44936</v>
      </c>
      <c r="B661" s="85">
        <v>62.2</v>
      </c>
      <c r="C661" s="85">
        <v>63.77</v>
      </c>
      <c r="D661" s="85">
        <v>62.2</v>
      </c>
      <c r="E661" s="85">
        <v>62.49</v>
      </c>
      <c r="F661" s="85">
        <v>289175</v>
      </c>
      <c r="G661" s="112">
        <f t="shared" si="20"/>
        <v>8.0658170672689433E-3</v>
      </c>
      <c r="I661" s="105">
        <v>44936</v>
      </c>
      <c r="J661" s="85">
        <v>40872.660000000003</v>
      </c>
      <c r="K661" s="85">
        <v>40981.08</v>
      </c>
      <c r="L661" s="85">
        <v>40632.74</v>
      </c>
      <c r="M661" s="85">
        <v>40801.5</v>
      </c>
      <c r="N661" s="123">
        <v>115515949</v>
      </c>
      <c r="O661" s="112">
        <f t="shared" si="21"/>
        <v>7.3260525429603707E-3</v>
      </c>
    </row>
    <row r="662" spans="1:15">
      <c r="A662" s="105">
        <v>44935</v>
      </c>
      <c r="B662" s="85">
        <v>63.75</v>
      </c>
      <c r="C662" s="85">
        <v>63.75</v>
      </c>
      <c r="D662" s="85">
        <v>61.8</v>
      </c>
      <c r="E662" s="85">
        <v>61.99</v>
      </c>
      <c r="F662" s="85">
        <v>280281</v>
      </c>
      <c r="G662" s="112">
        <f t="shared" si="20"/>
        <v>-3.201124297314184E-2</v>
      </c>
      <c r="I662" s="105">
        <v>44935</v>
      </c>
      <c r="J662" s="85">
        <v>40946.25</v>
      </c>
      <c r="K662" s="85">
        <v>41074.730000000003</v>
      </c>
      <c r="L662" s="85">
        <v>40436.14</v>
      </c>
      <c r="M662" s="85">
        <v>40504.76</v>
      </c>
      <c r="N662" s="123">
        <v>97518736</v>
      </c>
      <c r="O662" s="112">
        <f t="shared" si="21"/>
        <v>-1.2260190326066844E-2</v>
      </c>
    </row>
    <row r="663" spans="1:15">
      <c r="A663" s="105">
        <v>44932</v>
      </c>
      <c r="B663" s="85">
        <v>64.97</v>
      </c>
      <c r="C663" s="85">
        <v>64.97</v>
      </c>
      <c r="D663" s="85">
        <v>63.51</v>
      </c>
      <c r="E663" s="85">
        <v>64.040000000000006</v>
      </c>
      <c r="F663" s="85">
        <v>145546</v>
      </c>
      <c r="G663" s="112">
        <f t="shared" si="20"/>
        <v>-7.9008520526722137E-3</v>
      </c>
      <c r="I663" s="105">
        <v>44932</v>
      </c>
      <c r="J663" s="85">
        <v>40747.35</v>
      </c>
      <c r="K663" s="85">
        <v>41097.89</v>
      </c>
      <c r="L663" s="85">
        <v>40684.49</v>
      </c>
      <c r="M663" s="85">
        <v>41007.519999999997</v>
      </c>
      <c r="N663" s="123">
        <v>113636996</v>
      </c>
      <c r="O663" s="112">
        <f t="shared" si="21"/>
        <v>7.1415344155745242E-3</v>
      </c>
    </row>
    <row r="664" spans="1:15">
      <c r="A664" s="105">
        <v>44931</v>
      </c>
      <c r="B664" s="85">
        <v>64.7</v>
      </c>
      <c r="C664" s="85">
        <v>64.8</v>
      </c>
      <c r="D664" s="85">
        <v>63</v>
      </c>
      <c r="E664" s="85">
        <v>64.55</v>
      </c>
      <c r="F664" s="85">
        <v>199038</v>
      </c>
      <c r="G664" s="112">
        <f t="shared" si="20"/>
        <v>1.2072750078394368E-2</v>
      </c>
      <c r="I664" s="105">
        <v>44931</v>
      </c>
      <c r="J664" s="85">
        <v>40597.07</v>
      </c>
      <c r="K664" s="85">
        <v>40790.74</v>
      </c>
      <c r="L664" s="85">
        <v>40597.07</v>
      </c>
      <c r="M664" s="85">
        <v>40716.74</v>
      </c>
      <c r="N664" s="123">
        <v>61922475</v>
      </c>
      <c r="O664" s="112">
        <f t="shared" si="21"/>
        <v>4.3769872691437062E-3</v>
      </c>
    </row>
    <row r="665" spans="1:15">
      <c r="A665" s="105">
        <v>44930</v>
      </c>
      <c r="B665" s="85">
        <v>62.1</v>
      </c>
      <c r="C665" s="85">
        <v>64</v>
      </c>
      <c r="D665" s="85">
        <v>62.1</v>
      </c>
      <c r="E665" s="85">
        <v>63.78</v>
      </c>
      <c r="F665" s="85">
        <v>109780</v>
      </c>
      <c r="G665" s="112">
        <f t="shared" si="20"/>
        <v>2.6725357648169634E-3</v>
      </c>
      <c r="I665" s="105">
        <v>44930</v>
      </c>
      <c r="J665" s="85">
        <v>40694.629999999997</v>
      </c>
      <c r="K665" s="85">
        <v>40895.32</v>
      </c>
      <c r="L665" s="85">
        <v>40497.51</v>
      </c>
      <c r="M665" s="85">
        <v>40539.300000000003</v>
      </c>
      <c r="N665" s="123">
        <v>61170233</v>
      </c>
      <c r="O665" s="112">
        <f t="shared" si="21"/>
        <v>-2.2480571312682995E-3</v>
      </c>
    </row>
    <row r="666" spans="1:15">
      <c r="A666" s="105">
        <v>44929</v>
      </c>
      <c r="B666" s="85">
        <v>64.22</v>
      </c>
      <c r="C666" s="85">
        <v>65.55</v>
      </c>
      <c r="D666" s="85">
        <v>62.8</v>
      </c>
      <c r="E666" s="85">
        <v>63.61</v>
      </c>
      <c r="F666" s="85">
        <v>1449704</v>
      </c>
      <c r="G666" s="112">
        <f t="shared" si="20"/>
        <v>-1.3951325375910817E-2</v>
      </c>
      <c r="I666" s="105">
        <v>44929</v>
      </c>
      <c r="J666" s="85">
        <v>40888.199999999997</v>
      </c>
      <c r="K666" s="85">
        <v>41015.919999999998</v>
      </c>
      <c r="L666" s="85">
        <v>40595.019999999997</v>
      </c>
      <c r="M666" s="85">
        <v>40630.639999999999</v>
      </c>
      <c r="N666" s="123">
        <v>80839832</v>
      </c>
      <c r="O666" s="112">
        <f t="shared" si="21"/>
        <v>-4.5389174316872172E-3</v>
      </c>
    </row>
    <row r="667" spans="1:15">
      <c r="A667" s="105">
        <v>44928</v>
      </c>
      <c r="B667" s="85">
        <v>63.4</v>
      </c>
      <c r="C667" s="85">
        <v>64.849999999999994</v>
      </c>
      <c r="D667" s="85">
        <v>62.75</v>
      </c>
      <c r="E667" s="85">
        <v>64.510000000000005</v>
      </c>
      <c r="F667" s="85">
        <v>958977</v>
      </c>
      <c r="G667" s="112">
        <f t="shared" si="20"/>
        <v>1.2239133845912464E-2</v>
      </c>
      <c r="I667" s="105">
        <v>44928</v>
      </c>
      <c r="J667" s="85">
        <v>40427.360000000001</v>
      </c>
      <c r="K667" s="85">
        <v>41030.92</v>
      </c>
      <c r="L667" s="85">
        <v>40348.89</v>
      </c>
      <c r="M667" s="85">
        <v>40815.9</v>
      </c>
      <c r="N667" s="123">
        <v>107600142</v>
      </c>
      <c r="O667" s="112">
        <f t="shared" si="21"/>
        <v>9.7834140886605692E-3</v>
      </c>
    </row>
    <row r="668" spans="1:15">
      <c r="A668" s="105">
        <v>44925</v>
      </c>
      <c r="B668" s="85">
        <v>60.34</v>
      </c>
      <c r="C668" s="85">
        <v>64</v>
      </c>
      <c r="D668" s="85">
        <v>59.6</v>
      </c>
      <c r="E668" s="85">
        <v>63.73</v>
      </c>
      <c r="F668" s="85">
        <v>3213843</v>
      </c>
      <c r="G668" s="112">
        <f t="shared" si="20"/>
        <v>6.3584779706274963E-2</v>
      </c>
      <c r="I668" s="105">
        <v>44925</v>
      </c>
      <c r="J668" s="85">
        <v>39771.730000000003</v>
      </c>
      <c r="K668" s="85">
        <v>40420.449999999997</v>
      </c>
      <c r="L668" s="85">
        <v>39683.74</v>
      </c>
      <c r="M668" s="85">
        <v>40420.449999999997</v>
      </c>
      <c r="N668" s="123">
        <v>204009872</v>
      </c>
      <c r="O668" s="112">
        <f t="shared" si="21"/>
        <v>1.6934206447924982E-2</v>
      </c>
    </row>
    <row r="669" spans="1:15">
      <c r="A669" s="105">
        <v>44924</v>
      </c>
      <c r="B669" s="85">
        <v>62.75</v>
      </c>
      <c r="C669" s="85">
        <v>62.75</v>
      </c>
      <c r="D669" s="85">
        <v>59.25</v>
      </c>
      <c r="E669" s="85">
        <v>59.92</v>
      </c>
      <c r="F669" s="85">
        <v>3057746</v>
      </c>
      <c r="G669" s="112">
        <f t="shared" si="20"/>
        <v>-3.2768361581920868E-2</v>
      </c>
      <c r="I669" s="105">
        <v>44924</v>
      </c>
      <c r="J669" s="85">
        <v>39281.4</v>
      </c>
      <c r="K669" s="85">
        <v>39747.360000000001</v>
      </c>
      <c r="L669" s="85">
        <v>39205.17</v>
      </c>
      <c r="M669" s="85">
        <v>39747.360000000001</v>
      </c>
      <c r="N669" s="123">
        <v>166553791</v>
      </c>
      <c r="O669" s="112">
        <f t="shared" si="21"/>
        <v>1.1912851077523268E-2</v>
      </c>
    </row>
    <row r="670" spans="1:15">
      <c r="A670" s="105">
        <v>44923</v>
      </c>
      <c r="B670" s="85">
        <v>62.89</v>
      </c>
      <c r="C670" s="85">
        <v>62.89</v>
      </c>
      <c r="D670" s="85">
        <v>61.7</v>
      </c>
      <c r="E670" s="85">
        <v>61.95</v>
      </c>
      <c r="F670" s="85">
        <v>256561</v>
      </c>
      <c r="G670" s="112">
        <f t="shared" si="20"/>
        <v>-1.0857416573527012E-2</v>
      </c>
      <c r="I670" s="105">
        <v>44923</v>
      </c>
      <c r="J670" s="85">
        <v>39819.360000000001</v>
      </c>
      <c r="K670" s="85">
        <v>39866.99</v>
      </c>
      <c r="L670" s="85">
        <v>39026.660000000003</v>
      </c>
      <c r="M670" s="85">
        <v>39279.43</v>
      </c>
      <c r="N670" s="123">
        <v>163838477</v>
      </c>
      <c r="O670" s="112">
        <f t="shared" si="21"/>
        <v>-1.3151802217476138E-2</v>
      </c>
    </row>
    <row r="671" spans="1:15">
      <c r="A671" s="105">
        <v>44922</v>
      </c>
      <c r="B671" s="85">
        <v>63.4</v>
      </c>
      <c r="C671" s="85">
        <v>63.4</v>
      </c>
      <c r="D671" s="85">
        <v>61.94</v>
      </c>
      <c r="E671" s="85">
        <v>62.63</v>
      </c>
      <c r="F671" s="85">
        <v>232433</v>
      </c>
      <c r="G671" s="112">
        <f t="shared" si="20"/>
        <v>-7.977026164645018E-4</v>
      </c>
      <c r="I671" s="105">
        <v>44922</v>
      </c>
      <c r="J671" s="85">
        <v>40215.01</v>
      </c>
      <c r="K671" s="85">
        <v>40315.769999999997</v>
      </c>
      <c r="L671" s="85">
        <v>39705.660000000003</v>
      </c>
      <c r="M671" s="85">
        <v>39802.910000000003</v>
      </c>
      <c r="N671" s="123">
        <v>102458561</v>
      </c>
      <c r="O671" s="112">
        <f t="shared" si="21"/>
        <v>-8.7722225487334438E-3</v>
      </c>
    </row>
    <row r="672" spans="1:15">
      <c r="A672" s="105">
        <v>44921</v>
      </c>
      <c r="B672" s="85">
        <v>63.43</v>
      </c>
      <c r="C672" s="85">
        <v>63.43</v>
      </c>
      <c r="D672" s="85">
        <v>62.22</v>
      </c>
      <c r="E672" s="85">
        <v>62.68</v>
      </c>
      <c r="F672" s="85">
        <v>413864</v>
      </c>
      <c r="G672" s="112">
        <f t="shared" si="20"/>
        <v>1.0153102336825093E-2</v>
      </c>
      <c r="I672" s="105">
        <v>44921</v>
      </c>
      <c r="J672" s="85">
        <v>39861.01</v>
      </c>
      <c r="K672" s="85">
        <v>40367.43</v>
      </c>
      <c r="L672" s="85">
        <v>39861.01</v>
      </c>
      <c r="M672" s="85">
        <v>40155.160000000003</v>
      </c>
      <c r="N672" s="123">
        <v>85399147</v>
      </c>
      <c r="O672" s="112">
        <f t="shared" si="21"/>
        <v>1.2250310064231273E-2</v>
      </c>
    </row>
    <row r="673" spans="1:15">
      <c r="A673" s="105">
        <v>44918</v>
      </c>
      <c r="B673" s="85">
        <v>62.95</v>
      </c>
      <c r="C673" s="85">
        <v>63.45</v>
      </c>
      <c r="D673" s="85">
        <v>61.45</v>
      </c>
      <c r="E673" s="85">
        <v>62.05</v>
      </c>
      <c r="F673" s="85">
        <v>313705</v>
      </c>
      <c r="G673" s="112">
        <f t="shared" si="20"/>
        <v>-1.4140451223387362E-2</v>
      </c>
      <c r="I673" s="105">
        <v>44918</v>
      </c>
      <c r="J673" s="85">
        <v>39708</v>
      </c>
      <c r="K673" s="85">
        <v>39938.32</v>
      </c>
      <c r="L673" s="85">
        <v>39497.730000000003</v>
      </c>
      <c r="M673" s="85">
        <v>39669.199999999997</v>
      </c>
      <c r="N673" s="123">
        <v>76131694</v>
      </c>
      <c r="O673" s="112">
        <f t="shared" si="21"/>
        <v>-4.2454088813462798E-3</v>
      </c>
    </row>
    <row r="674" spans="1:15">
      <c r="A674" s="105">
        <v>44917</v>
      </c>
      <c r="B674" s="85">
        <v>63</v>
      </c>
      <c r="C674" s="85">
        <v>63.82</v>
      </c>
      <c r="D674" s="85">
        <v>62.5</v>
      </c>
      <c r="E674" s="85">
        <v>62.94</v>
      </c>
      <c r="F674" s="85">
        <v>508933</v>
      </c>
      <c r="G674" s="112">
        <f t="shared" si="20"/>
        <v>5.431309904153192E-3</v>
      </c>
      <c r="I674" s="105">
        <v>44917</v>
      </c>
      <c r="J674" s="85">
        <v>39466.559999999998</v>
      </c>
      <c r="K674" s="85">
        <v>39928.42</v>
      </c>
      <c r="L674" s="85">
        <v>39325.78</v>
      </c>
      <c r="M674" s="85">
        <v>39838.33</v>
      </c>
      <c r="N674" s="123">
        <v>86247762</v>
      </c>
      <c r="O674" s="112">
        <f t="shared" si="21"/>
        <v>1.2592872562234403E-2</v>
      </c>
    </row>
    <row r="675" spans="1:15">
      <c r="A675" s="105">
        <v>44916</v>
      </c>
      <c r="B675" s="85">
        <v>64.489999999999995</v>
      </c>
      <c r="C675" s="85">
        <v>64.489999999999995</v>
      </c>
      <c r="D675" s="85">
        <v>62.01</v>
      </c>
      <c r="E675" s="85">
        <v>62.6</v>
      </c>
      <c r="F675" s="85">
        <v>503372</v>
      </c>
      <c r="G675" s="112">
        <f t="shared" si="20"/>
        <v>-5.7179161372299392E-3</v>
      </c>
      <c r="I675" s="105">
        <v>44916</v>
      </c>
      <c r="J675" s="85">
        <v>39641.01</v>
      </c>
      <c r="K675" s="85">
        <v>40022.370000000003</v>
      </c>
      <c r="L675" s="85">
        <v>39276.699999999997</v>
      </c>
      <c r="M675" s="85">
        <v>39342.89</v>
      </c>
      <c r="N675" s="123">
        <v>65409862</v>
      </c>
      <c r="O675" s="112">
        <f t="shared" si="21"/>
        <v>-1.2290481755453109E-2</v>
      </c>
    </row>
    <row r="676" spans="1:15">
      <c r="A676" s="105">
        <v>44915</v>
      </c>
      <c r="B676" s="85">
        <v>64.099999999999994</v>
      </c>
      <c r="C676" s="85">
        <v>65</v>
      </c>
      <c r="D676" s="85">
        <v>62.35</v>
      </c>
      <c r="E676" s="85">
        <v>62.96</v>
      </c>
      <c r="F676" s="85">
        <v>663578</v>
      </c>
      <c r="G676" s="112">
        <f t="shared" si="20"/>
        <v>-2.794503628222933E-2</v>
      </c>
      <c r="I676" s="105">
        <v>44915</v>
      </c>
      <c r="J676" s="85">
        <v>40970.339999999997</v>
      </c>
      <c r="K676" s="85">
        <v>41037.14</v>
      </c>
      <c r="L676" s="85">
        <v>39532.019999999997</v>
      </c>
      <c r="M676" s="85">
        <v>39832.449999999997</v>
      </c>
      <c r="N676" s="123">
        <v>128223108</v>
      </c>
      <c r="O676" s="112">
        <f t="shared" si="21"/>
        <v>-2.7784896665480563E-2</v>
      </c>
    </row>
    <row r="677" spans="1:15">
      <c r="A677" s="105">
        <v>44914</v>
      </c>
      <c r="B677" s="85">
        <v>65</v>
      </c>
      <c r="C677" s="85">
        <v>66</v>
      </c>
      <c r="D677" s="85">
        <v>64.02</v>
      </c>
      <c r="E677" s="85">
        <v>64.77</v>
      </c>
      <c r="F677" s="85">
        <v>705108</v>
      </c>
      <c r="G677" s="112">
        <f t="shared" si="20"/>
        <v>4.3417584121570041E-3</v>
      </c>
      <c r="I677" s="105">
        <v>44914</v>
      </c>
      <c r="J677" s="85">
        <v>41292.58</v>
      </c>
      <c r="K677" s="85">
        <v>41393.370000000003</v>
      </c>
      <c r="L677" s="85">
        <v>40814.559999999998</v>
      </c>
      <c r="M677" s="85">
        <v>40970.82</v>
      </c>
      <c r="N677" s="123">
        <v>82408144</v>
      </c>
      <c r="O677" s="112">
        <f t="shared" si="21"/>
        <v>-8.006008501390327E-3</v>
      </c>
    </row>
    <row r="678" spans="1:15">
      <c r="A678" s="105">
        <v>44911</v>
      </c>
      <c r="B678" s="85">
        <v>64.89</v>
      </c>
      <c r="C678" s="85">
        <v>65.349999999999994</v>
      </c>
      <c r="D678" s="85">
        <v>63.2</v>
      </c>
      <c r="E678" s="85">
        <v>64.489999999999995</v>
      </c>
      <c r="F678" s="85">
        <v>470757</v>
      </c>
      <c r="G678" s="112">
        <f t="shared" si="20"/>
        <v>2.331364625427268E-3</v>
      </c>
      <c r="I678" s="105">
        <v>44911</v>
      </c>
      <c r="J678" s="85">
        <v>41193.440000000002</v>
      </c>
      <c r="K678" s="85">
        <v>41393.97</v>
      </c>
      <c r="L678" s="85">
        <v>41087.589999999997</v>
      </c>
      <c r="M678" s="85">
        <v>41301.480000000003</v>
      </c>
      <c r="N678" s="123">
        <v>64638892</v>
      </c>
      <c r="O678" s="112">
        <f t="shared" si="21"/>
        <v>2.9558210149840392E-3</v>
      </c>
    </row>
    <row r="679" spans="1:15">
      <c r="A679" s="105">
        <v>44910</v>
      </c>
      <c r="B679" s="85">
        <v>66</v>
      </c>
      <c r="C679" s="85">
        <v>66</v>
      </c>
      <c r="D679" s="85">
        <v>62.11</v>
      </c>
      <c r="E679" s="85">
        <v>64.34</v>
      </c>
      <c r="F679" s="85">
        <v>2313381</v>
      </c>
      <c r="G679" s="112">
        <f t="shared" si="20"/>
        <v>-2.2930903568716632E-2</v>
      </c>
      <c r="I679" s="105">
        <v>44910</v>
      </c>
      <c r="J679" s="85">
        <v>41909.43</v>
      </c>
      <c r="K679" s="85">
        <v>41997.66</v>
      </c>
      <c r="L679" s="85">
        <v>41109.29</v>
      </c>
      <c r="M679" s="85">
        <v>41179.760000000002</v>
      </c>
      <c r="N679" s="123">
        <v>137451123</v>
      </c>
      <c r="O679" s="112">
        <f t="shared" si="21"/>
        <v>-1.3365879511098133E-2</v>
      </c>
    </row>
    <row r="680" spans="1:15">
      <c r="A680" s="105">
        <v>44909</v>
      </c>
      <c r="B680" s="85">
        <v>65.55</v>
      </c>
      <c r="C680" s="85">
        <v>66.45</v>
      </c>
      <c r="D680" s="85">
        <v>65.55</v>
      </c>
      <c r="E680" s="85">
        <v>65.849999999999994</v>
      </c>
      <c r="F680" s="85">
        <v>738520</v>
      </c>
      <c r="G680" s="112">
        <f t="shared" si="20"/>
        <v>-1.8190086402911643E-3</v>
      </c>
      <c r="I680" s="105">
        <v>44909</v>
      </c>
      <c r="J680" s="85">
        <v>41708.15</v>
      </c>
      <c r="K680" s="85">
        <v>41874.07</v>
      </c>
      <c r="L680" s="85">
        <v>41540.620000000003</v>
      </c>
      <c r="M680" s="85">
        <v>41737.620000000003</v>
      </c>
      <c r="N680" s="123">
        <v>53071442</v>
      </c>
      <c r="O680" s="112">
        <f t="shared" si="21"/>
        <v>5.5904090443803511E-4</v>
      </c>
    </row>
    <row r="681" spans="1:15">
      <c r="A681" s="105">
        <v>44908</v>
      </c>
      <c r="B681" s="85">
        <v>65.5</v>
      </c>
      <c r="C681" s="85">
        <v>66.8</v>
      </c>
      <c r="D681" s="85">
        <v>65.099999999999994</v>
      </c>
      <c r="E681" s="85">
        <v>65.97</v>
      </c>
      <c r="F681" s="85">
        <v>3577369</v>
      </c>
      <c r="G681" s="112">
        <f t="shared" si="20"/>
        <v>6.1003507701693493E-3</v>
      </c>
      <c r="I681" s="105">
        <v>44908</v>
      </c>
      <c r="J681" s="85">
        <v>41513.019999999997</v>
      </c>
      <c r="K681" s="85">
        <v>41772.839999999997</v>
      </c>
      <c r="L681" s="85">
        <v>41512.43</v>
      </c>
      <c r="M681" s="85">
        <v>41714.300000000003</v>
      </c>
      <c r="N681" s="123">
        <v>66665118</v>
      </c>
      <c r="O681" s="112">
        <f t="shared" si="21"/>
        <v>4.1826600755165977E-3</v>
      </c>
    </row>
    <row r="682" spans="1:15">
      <c r="A682" s="105">
        <v>44907</v>
      </c>
      <c r="B682" s="85">
        <v>66.290000000000006</v>
      </c>
      <c r="C682" s="85">
        <v>66.349999999999994</v>
      </c>
      <c r="D682" s="85">
        <v>65.2</v>
      </c>
      <c r="E682" s="85">
        <v>65.569999999999993</v>
      </c>
      <c r="F682" s="85">
        <v>5508129</v>
      </c>
      <c r="G682" s="112">
        <f t="shared" si="20"/>
        <v>-3.0409001064315433E-3</v>
      </c>
      <c r="I682" s="105">
        <v>44907</v>
      </c>
      <c r="J682" s="85">
        <v>41718.67</v>
      </c>
      <c r="K682" s="85">
        <v>41784.480000000003</v>
      </c>
      <c r="L682" s="85">
        <v>41507.79</v>
      </c>
      <c r="M682" s="85">
        <v>41540.550000000003</v>
      </c>
      <c r="N682" s="123">
        <v>45403158</v>
      </c>
      <c r="O682" s="112">
        <f t="shared" si="21"/>
        <v>-3.7826500277707842E-3</v>
      </c>
    </row>
    <row r="683" spans="1:15">
      <c r="A683" s="105">
        <v>44904</v>
      </c>
      <c r="B683" s="85">
        <v>67.650000000000006</v>
      </c>
      <c r="C683" s="85">
        <v>67.75</v>
      </c>
      <c r="D683" s="85">
        <v>65.5</v>
      </c>
      <c r="E683" s="85">
        <v>65.77</v>
      </c>
      <c r="F683" s="85">
        <v>1549529</v>
      </c>
      <c r="G683" s="112">
        <f t="shared" si="20"/>
        <v>-1.6890881913303568E-2</v>
      </c>
      <c r="I683" s="105">
        <v>44904</v>
      </c>
      <c r="J683" s="85">
        <v>41734.31</v>
      </c>
      <c r="K683" s="85">
        <v>41748.89</v>
      </c>
      <c r="L683" s="85">
        <v>41550.379999999997</v>
      </c>
      <c r="M683" s="85">
        <v>41698.28</v>
      </c>
      <c r="N683" s="123">
        <v>45627343</v>
      </c>
      <c r="O683" s="112">
        <f t="shared" si="21"/>
        <v>1.1204848984227578E-3</v>
      </c>
    </row>
    <row r="684" spans="1:15">
      <c r="A684" s="105">
        <v>44903</v>
      </c>
      <c r="B684" s="85">
        <v>68.34</v>
      </c>
      <c r="C684" s="85">
        <v>68.34</v>
      </c>
      <c r="D684" s="85">
        <v>66.75</v>
      </c>
      <c r="E684" s="85">
        <v>66.900000000000006</v>
      </c>
      <c r="F684" s="85">
        <v>665889</v>
      </c>
      <c r="G684" s="112">
        <f t="shared" si="20"/>
        <v>-8.8888888888888351E-3</v>
      </c>
      <c r="I684" s="105">
        <v>44903</v>
      </c>
      <c r="J684" s="85">
        <v>41858.39</v>
      </c>
      <c r="K684" s="85">
        <v>41929.96</v>
      </c>
      <c r="L684" s="85">
        <v>41597.32</v>
      </c>
      <c r="M684" s="85">
        <v>41651.61</v>
      </c>
      <c r="N684" s="123">
        <v>47104027</v>
      </c>
      <c r="O684" s="112">
        <f t="shared" si="21"/>
        <v>-4.009632875163649E-3</v>
      </c>
    </row>
    <row r="685" spans="1:15">
      <c r="A685" s="105">
        <v>44902</v>
      </c>
      <c r="B685" s="85">
        <v>68</v>
      </c>
      <c r="C685" s="85">
        <v>68.25</v>
      </c>
      <c r="D685" s="85">
        <v>67.3</v>
      </c>
      <c r="E685" s="85">
        <v>67.5</v>
      </c>
      <c r="F685" s="85">
        <v>1709572</v>
      </c>
      <c r="G685" s="112">
        <f t="shared" si="20"/>
        <v>-6.3300456352127776E-3</v>
      </c>
      <c r="I685" s="105">
        <v>44902</v>
      </c>
      <c r="J685" s="85">
        <v>41572.94</v>
      </c>
      <c r="K685" s="85">
        <v>41900.81</v>
      </c>
      <c r="L685" s="85">
        <v>41543.64</v>
      </c>
      <c r="M685" s="85">
        <v>41819.29</v>
      </c>
      <c r="N685" s="123">
        <v>69417912</v>
      </c>
      <c r="O685" s="112">
        <f t="shared" si="21"/>
        <v>6.7248532376309456E-3</v>
      </c>
    </row>
    <row r="686" spans="1:15">
      <c r="A686" s="105">
        <v>44901</v>
      </c>
      <c r="B686" s="85">
        <v>68</v>
      </c>
      <c r="C686" s="85">
        <v>68.290000000000006</v>
      </c>
      <c r="D686" s="85">
        <v>67.150000000000006</v>
      </c>
      <c r="E686" s="85">
        <v>67.930000000000007</v>
      </c>
      <c r="F686" s="85">
        <v>311749</v>
      </c>
      <c r="G686" s="112">
        <f t="shared" si="20"/>
        <v>2.2130421953379109E-3</v>
      </c>
      <c r="I686" s="105">
        <v>44901</v>
      </c>
      <c r="J686" s="85">
        <v>41626.959999999999</v>
      </c>
      <c r="K686" s="85">
        <v>41746</v>
      </c>
      <c r="L686" s="85">
        <v>41295.1</v>
      </c>
      <c r="M686" s="85">
        <v>41539.94</v>
      </c>
      <c r="N686" s="123">
        <v>46388972</v>
      </c>
      <c r="O686" s="112">
        <f t="shared" si="21"/>
        <v>-1.7477849895235487E-3</v>
      </c>
    </row>
    <row r="687" spans="1:15">
      <c r="A687" s="105">
        <v>44900</v>
      </c>
      <c r="B687" s="85">
        <v>69.45</v>
      </c>
      <c r="C687" s="85">
        <v>69.45</v>
      </c>
      <c r="D687" s="85">
        <v>67.599999999999994</v>
      </c>
      <c r="E687" s="85">
        <v>67.78</v>
      </c>
      <c r="F687" s="85">
        <v>876686</v>
      </c>
      <c r="G687" s="112">
        <f t="shared" si="20"/>
        <v>-1.1953352769679237E-2</v>
      </c>
      <c r="I687" s="105">
        <v>44900</v>
      </c>
      <c r="J687" s="85">
        <v>42201.760000000002</v>
      </c>
      <c r="K687" s="85">
        <v>42248.53</v>
      </c>
      <c r="L687" s="85">
        <v>41513.910000000003</v>
      </c>
      <c r="M687" s="85">
        <v>41612.67</v>
      </c>
      <c r="N687" s="123">
        <v>56412721</v>
      </c>
      <c r="O687" s="112">
        <f t="shared" si="21"/>
        <v>-1.2750384933843617E-2</v>
      </c>
    </row>
    <row r="688" spans="1:15">
      <c r="A688" s="105">
        <v>44897</v>
      </c>
      <c r="B688" s="85">
        <v>68.45</v>
      </c>
      <c r="C688" s="85">
        <v>68.900000000000006</v>
      </c>
      <c r="D688" s="85">
        <v>67.510000000000005</v>
      </c>
      <c r="E688" s="85">
        <v>68.599999999999994</v>
      </c>
      <c r="F688" s="85">
        <v>1432799</v>
      </c>
      <c r="G688" s="112">
        <f t="shared" si="20"/>
        <v>1.0011778563015161E-2</v>
      </c>
      <c r="I688" s="105">
        <v>44897</v>
      </c>
      <c r="J688" s="85">
        <v>42374.080000000002</v>
      </c>
      <c r="K688" s="85">
        <v>42471.19</v>
      </c>
      <c r="L688" s="85">
        <v>41946.49</v>
      </c>
      <c r="M688" s="85">
        <v>42150.1</v>
      </c>
      <c r="N688" s="123">
        <v>59433471</v>
      </c>
      <c r="O688" s="112">
        <f t="shared" si="21"/>
        <v>-5.7419152738437118E-3</v>
      </c>
    </row>
    <row r="689" spans="1:15">
      <c r="A689" s="105">
        <v>44896</v>
      </c>
      <c r="B689" s="85">
        <v>66.98</v>
      </c>
      <c r="C689" s="85">
        <v>70.099999999999994</v>
      </c>
      <c r="D689" s="85">
        <v>66.98</v>
      </c>
      <c r="E689" s="85">
        <v>67.92</v>
      </c>
      <c r="F689" s="85">
        <v>5477595</v>
      </c>
      <c r="G689" s="112">
        <f t="shared" si="20"/>
        <v>1.9972968914251377E-2</v>
      </c>
      <c r="I689" s="105">
        <v>44896</v>
      </c>
      <c r="J689" s="85">
        <v>42378.05</v>
      </c>
      <c r="K689" s="85">
        <v>42658.87</v>
      </c>
      <c r="L689" s="85">
        <v>42376.480000000003</v>
      </c>
      <c r="M689" s="85">
        <v>42393.52</v>
      </c>
      <c r="N689" s="123">
        <v>56001898</v>
      </c>
      <c r="O689" s="112">
        <f t="shared" si="21"/>
        <v>1.0600106780314089E-3</v>
      </c>
    </row>
    <row r="690" spans="1:15">
      <c r="A690" s="105">
        <v>44895</v>
      </c>
      <c r="B690" s="85">
        <v>68.489999999999995</v>
      </c>
      <c r="C690" s="85">
        <v>68.75</v>
      </c>
      <c r="D690" s="85">
        <v>66.5</v>
      </c>
      <c r="E690" s="85">
        <v>66.59</v>
      </c>
      <c r="F690" s="85">
        <v>807766</v>
      </c>
      <c r="G690" s="112">
        <f t="shared" si="20"/>
        <v>-2.3607038123167112E-2</v>
      </c>
      <c r="I690" s="105">
        <v>44895</v>
      </c>
      <c r="J690" s="85">
        <v>42407.77</v>
      </c>
      <c r="K690" s="85">
        <v>42517.81</v>
      </c>
      <c r="L690" s="85">
        <v>42268.84</v>
      </c>
      <c r="M690" s="85">
        <v>42348.63</v>
      </c>
      <c r="N690" s="123">
        <v>53037512</v>
      </c>
      <c r="O690" s="112">
        <f t="shared" si="21"/>
        <v>-5.8904614879218276E-4</v>
      </c>
    </row>
    <row r="691" spans="1:15">
      <c r="A691" s="105">
        <v>44894</v>
      </c>
      <c r="B691" s="85">
        <v>67.87</v>
      </c>
      <c r="C691" s="85">
        <v>68.5</v>
      </c>
      <c r="D691" s="85">
        <v>66.52</v>
      </c>
      <c r="E691" s="85">
        <v>68.2</v>
      </c>
      <c r="F691" s="85">
        <v>778638</v>
      </c>
      <c r="G691" s="112">
        <f t="shared" si="20"/>
        <v>1.8822826411712068E-2</v>
      </c>
      <c r="I691" s="105">
        <v>44894</v>
      </c>
      <c r="J691" s="85">
        <v>42071.19</v>
      </c>
      <c r="K691" s="85">
        <v>42438.2</v>
      </c>
      <c r="L691" s="85">
        <v>42042.02</v>
      </c>
      <c r="M691" s="85">
        <v>42373.59</v>
      </c>
      <c r="N691" s="123">
        <v>71694077</v>
      </c>
      <c r="O691" s="112">
        <f t="shared" si="21"/>
        <v>7.184225651001297E-3</v>
      </c>
    </row>
    <row r="692" spans="1:15">
      <c r="A692" s="105">
        <v>44893</v>
      </c>
      <c r="B692" s="85">
        <v>69</v>
      </c>
      <c r="C692" s="85">
        <v>69</v>
      </c>
      <c r="D692" s="85">
        <v>66.5</v>
      </c>
      <c r="E692" s="85">
        <v>66.94</v>
      </c>
      <c r="F692" s="85">
        <v>712640</v>
      </c>
      <c r="G692" s="112">
        <f t="shared" si="20"/>
        <v>-1.558823529411768E-2</v>
      </c>
      <c r="I692" s="105">
        <v>44893</v>
      </c>
      <c r="J692" s="85">
        <v>42582.47</v>
      </c>
      <c r="K692" s="85">
        <v>42582.47</v>
      </c>
      <c r="L692" s="85">
        <v>41963.54</v>
      </c>
      <c r="M692" s="85">
        <v>42071.34</v>
      </c>
      <c r="N692" s="123">
        <v>121762508</v>
      </c>
      <c r="O692" s="112">
        <f t="shared" si="21"/>
        <v>-2.0155004817553834E-2</v>
      </c>
    </row>
    <row r="693" spans="1:15">
      <c r="A693" s="105">
        <v>44890</v>
      </c>
      <c r="B693" s="85">
        <v>68.48</v>
      </c>
      <c r="C693" s="85">
        <v>68.48</v>
      </c>
      <c r="D693" s="85">
        <v>67.760000000000005</v>
      </c>
      <c r="E693" s="85">
        <v>68</v>
      </c>
      <c r="F693" s="85">
        <v>1248248</v>
      </c>
      <c r="G693" s="112">
        <f t="shared" si="20"/>
        <v>4.7281323877068626E-3</v>
      </c>
      <c r="I693" s="105">
        <v>44890</v>
      </c>
      <c r="J693" s="85">
        <v>43057.73</v>
      </c>
      <c r="K693" s="85">
        <v>43120.54</v>
      </c>
      <c r="L693" s="85">
        <v>42874.69</v>
      </c>
      <c r="M693" s="85">
        <v>42936.73</v>
      </c>
      <c r="N693" s="123">
        <v>77543332</v>
      </c>
      <c r="O693" s="112">
        <f t="shared" si="21"/>
        <v>7.7102997064359968E-4</v>
      </c>
    </row>
    <row r="694" spans="1:15">
      <c r="A694" s="105">
        <v>44889</v>
      </c>
      <c r="B694" s="85">
        <v>68.099999999999994</v>
      </c>
      <c r="C694" s="85">
        <v>68.67</v>
      </c>
      <c r="D694" s="85">
        <v>67.510000000000005</v>
      </c>
      <c r="E694" s="85">
        <v>67.680000000000007</v>
      </c>
      <c r="F694" s="85">
        <v>1192088</v>
      </c>
      <c r="G694" s="112">
        <f t="shared" si="20"/>
        <v>-1.0092145677928932E-2</v>
      </c>
      <c r="I694" s="105">
        <v>44889</v>
      </c>
      <c r="J694" s="85">
        <v>42911.15</v>
      </c>
      <c r="K694" s="85">
        <v>43016.66</v>
      </c>
      <c r="L694" s="85">
        <v>42861.64</v>
      </c>
      <c r="M694" s="85">
        <v>42903.65</v>
      </c>
      <c r="N694" s="123">
        <v>66352300</v>
      </c>
      <c r="O694" s="112">
        <f t="shared" si="21"/>
        <v>5.443057664462625E-4</v>
      </c>
    </row>
    <row r="695" spans="1:15">
      <c r="A695" s="105">
        <v>44888</v>
      </c>
      <c r="B695" s="85">
        <v>68.73</v>
      </c>
      <c r="C695" s="85">
        <v>68.95</v>
      </c>
      <c r="D695" s="85">
        <v>68.11</v>
      </c>
      <c r="E695" s="85">
        <v>68.37</v>
      </c>
      <c r="F695" s="85">
        <v>132930</v>
      </c>
      <c r="G695" s="112">
        <f t="shared" si="20"/>
        <v>1.4647722279186315E-3</v>
      </c>
      <c r="I695" s="105">
        <v>44888</v>
      </c>
      <c r="J695" s="85">
        <v>42963.62</v>
      </c>
      <c r="K695" s="85">
        <v>43040.58</v>
      </c>
      <c r="L695" s="85">
        <v>42787.77</v>
      </c>
      <c r="M695" s="85">
        <v>42880.31</v>
      </c>
      <c r="N695" s="123">
        <v>56567438</v>
      </c>
      <c r="O695" s="112">
        <f t="shared" si="21"/>
        <v>-1.1253564638230573E-3</v>
      </c>
    </row>
    <row r="696" spans="1:15">
      <c r="A696" s="105">
        <v>44887</v>
      </c>
      <c r="B696" s="85">
        <v>68.900000000000006</v>
      </c>
      <c r="C696" s="85">
        <v>68.92</v>
      </c>
      <c r="D696" s="85">
        <v>68</v>
      </c>
      <c r="E696" s="85">
        <v>68.27</v>
      </c>
      <c r="F696" s="85">
        <v>100657</v>
      </c>
      <c r="G696" s="112">
        <f t="shared" si="20"/>
        <v>2.0548950535741461E-3</v>
      </c>
      <c r="I696" s="105">
        <v>44887</v>
      </c>
      <c r="J696" s="85">
        <v>42804.75</v>
      </c>
      <c r="K696" s="85">
        <v>43076.45</v>
      </c>
      <c r="L696" s="85">
        <v>42804.75</v>
      </c>
      <c r="M696" s="85">
        <v>42928.62</v>
      </c>
      <c r="N696" s="123">
        <v>82382543</v>
      </c>
      <c r="O696" s="112">
        <f t="shared" si="21"/>
        <v>3.9154663375833287E-3</v>
      </c>
    </row>
    <row r="697" spans="1:15">
      <c r="A697" s="105">
        <v>44886</v>
      </c>
      <c r="B697" s="85">
        <v>67.52</v>
      </c>
      <c r="C697" s="85">
        <v>68.489999999999995</v>
      </c>
      <c r="D697" s="85">
        <v>67.5</v>
      </c>
      <c r="E697" s="85">
        <v>68.13</v>
      </c>
      <c r="F697" s="85">
        <v>265275</v>
      </c>
      <c r="G697" s="112">
        <f t="shared" si="20"/>
        <v>-2.3429491872896113E-3</v>
      </c>
      <c r="I697" s="105">
        <v>44886</v>
      </c>
      <c r="J697" s="85">
        <v>42746.28</v>
      </c>
      <c r="K697" s="85">
        <v>42856.37</v>
      </c>
      <c r="L697" s="85">
        <v>42664.53</v>
      </c>
      <c r="M697" s="85">
        <v>42761.19</v>
      </c>
      <c r="N697" s="123">
        <v>62389056</v>
      </c>
      <c r="O697" s="112">
        <f t="shared" si="21"/>
        <v>7.2431140101270053E-4</v>
      </c>
    </row>
    <row r="698" spans="1:15">
      <c r="A698" s="105">
        <v>44883</v>
      </c>
      <c r="B698" s="85">
        <v>69.400000000000006</v>
      </c>
      <c r="C698" s="85">
        <v>69.400000000000006</v>
      </c>
      <c r="D698" s="85">
        <v>67.849999999999994</v>
      </c>
      <c r="E698" s="85">
        <v>68.290000000000006</v>
      </c>
      <c r="F698" s="85">
        <v>637019</v>
      </c>
      <c r="G698" s="112">
        <f t="shared" si="20"/>
        <v>-2.7745327102803863E-3</v>
      </c>
      <c r="I698" s="105">
        <v>44883</v>
      </c>
      <c r="J698" s="85">
        <v>42751.73</v>
      </c>
      <c r="K698" s="85">
        <v>42767.13</v>
      </c>
      <c r="L698" s="85">
        <v>42600.28</v>
      </c>
      <c r="M698" s="85">
        <v>42730.239999999998</v>
      </c>
      <c r="N698" s="123">
        <v>108151257</v>
      </c>
      <c r="O698" s="112">
        <f t="shared" si="21"/>
        <v>-2.0896913851843335E-3</v>
      </c>
    </row>
    <row r="699" spans="1:15">
      <c r="A699" s="105">
        <v>44882</v>
      </c>
      <c r="B699" s="85">
        <v>69.16</v>
      </c>
      <c r="C699" s="85">
        <v>69.900000000000006</v>
      </c>
      <c r="D699" s="85">
        <v>68.36</v>
      </c>
      <c r="E699" s="85">
        <v>68.48</v>
      </c>
      <c r="F699" s="85">
        <v>329673</v>
      </c>
      <c r="G699" s="112">
        <f t="shared" si="20"/>
        <v>-9.8322729901676453E-3</v>
      </c>
      <c r="I699" s="105">
        <v>44882</v>
      </c>
      <c r="J699" s="85">
        <v>43056.71</v>
      </c>
      <c r="K699" s="85">
        <v>43104.52</v>
      </c>
      <c r="L699" s="85">
        <v>42769.37</v>
      </c>
      <c r="M699" s="85">
        <v>42819.72</v>
      </c>
      <c r="N699" s="123">
        <v>72213612</v>
      </c>
      <c r="O699" s="112">
        <f t="shared" si="21"/>
        <v>-3.8160932910692447E-3</v>
      </c>
    </row>
    <row r="700" spans="1:15">
      <c r="A700" s="105">
        <v>44881</v>
      </c>
      <c r="B700" s="85">
        <v>69.2</v>
      </c>
      <c r="C700" s="85">
        <v>69.900000000000006</v>
      </c>
      <c r="D700" s="85">
        <v>68.75</v>
      </c>
      <c r="E700" s="85">
        <v>69.16</v>
      </c>
      <c r="F700" s="85">
        <v>352781</v>
      </c>
      <c r="G700" s="112">
        <f t="shared" si="20"/>
        <v>-8.6009174311927339E-3</v>
      </c>
      <c r="I700" s="105">
        <v>44881</v>
      </c>
      <c r="J700" s="85">
        <v>42851.199999999997</v>
      </c>
      <c r="K700" s="85">
        <v>43098.94</v>
      </c>
      <c r="L700" s="85">
        <v>42728.67</v>
      </c>
      <c r="M700" s="85">
        <v>42983.75</v>
      </c>
      <c r="N700" s="123">
        <v>83470363</v>
      </c>
      <c r="O700" s="112">
        <f t="shared" si="21"/>
        <v>4.367143843530652E-3</v>
      </c>
    </row>
    <row r="701" spans="1:15">
      <c r="A701" s="105">
        <v>44880</v>
      </c>
      <c r="B701" s="85">
        <v>70</v>
      </c>
      <c r="C701" s="85">
        <v>70</v>
      </c>
      <c r="D701" s="85">
        <v>69.599999999999994</v>
      </c>
      <c r="E701" s="85">
        <v>69.760000000000005</v>
      </c>
      <c r="F701" s="85">
        <v>497806</v>
      </c>
      <c r="G701" s="112">
        <f t="shared" si="20"/>
        <v>-2.2883295194507935E-3</v>
      </c>
      <c r="I701" s="105">
        <v>44880</v>
      </c>
      <c r="J701" s="85">
        <v>42888.97</v>
      </c>
      <c r="K701" s="85">
        <v>43035.78</v>
      </c>
      <c r="L701" s="85">
        <v>42742.75</v>
      </c>
      <c r="M701" s="85">
        <v>42796.85</v>
      </c>
      <c r="N701" s="123">
        <v>97300607</v>
      </c>
      <c r="O701" s="112">
        <f t="shared" si="21"/>
        <v>-1.2597188899259315E-3</v>
      </c>
    </row>
    <row r="702" spans="1:15">
      <c r="A702" s="105">
        <v>44879</v>
      </c>
      <c r="B702" s="85">
        <v>69.489999999999995</v>
      </c>
      <c r="C702" s="85">
        <v>70.290000000000006</v>
      </c>
      <c r="D702" s="85">
        <v>69.099999999999994</v>
      </c>
      <c r="E702" s="85">
        <v>69.92</v>
      </c>
      <c r="F702" s="85">
        <v>575232</v>
      </c>
      <c r="G702" s="112">
        <f t="shared" si="20"/>
        <v>6.1879407108937912E-3</v>
      </c>
      <c r="I702" s="105">
        <v>44879</v>
      </c>
      <c r="J702" s="85">
        <v>43083.08</v>
      </c>
      <c r="K702" s="85">
        <v>43083.08</v>
      </c>
      <c r="L702" s="85">
        <v>42761.88</v>
      </c>
      <c r="M702" s="85">
        <v>42850.83</v>
      </c>
      <c r="N702" s="123">
        <v>82380705</v>
      </c>
      <c r="O702" s="112">
        <f t="shared" si="21"/>
        <v>-5.6185524546357168E-3</v>
      </c>
    </row>
    <row r="703" spans="1:15">
      <c r="A703" s="105">
        <v>44876</v>
      </c>
      <c r="B703" s="85">
        <v>69.989999999999995</v>
      </c>
      <c r="C703" s="85">
        <v>70.290000000000006</v>
      </c>
      <c r="D703" s="85">
        <v>69.260000000000005</v>
      </c>
      <c r="E703" s="85">
        <v>69.489999999999995</v>
      </c>
      <c r="F703" s="85">
        <v>541124</v>
      </c>
      <c r="G703" s="112">
        <f t="shared" si="20"/>
        <v>-1.8672795173801937E-3</v>
      </c>
      <c r="I703" s="105">
        <v>44876</v>
      </c>
      <c r="J703" s="85">
        <v>43057.54</v>
      </c>
      <c r="K703" s="85">
        <v>43121.36</v>
      </c>
      <c r="L703" s="85">
        <v>42805.09</v>
      </c>
      <c r="M703" s="85">
        <v>43092.95</v>
      </c>
      <c r="N703" s="123">
        <v>103402069</v>
      </c>
      <c r="O703" s="112">
        <f t="shared" si="21"/>
        <v>4.4679330005847895E-3</v>
      </c>
    </row>
    <row r="704" spans="1:15">
      <c r="A704" s="105">
        <v>44875</v>
      </c>
      <c r="B704" s="85">
        <v>68</v>
      </c>
      <c r="C704" s="85">
        <v>71.25</v>
      </c>
      <c r="D704" s="85">
        <v>67.5</v>
      </c>
      <c r="E704" s="85">
        <v>69.62</v>
      </c>
      <c r="F704" s="85">
        <v>3760847</v>
      </c>
      <c r="G704" s="112">
        <f t="shared" si="20"/>
        <v>2.988165680473398E-2</v>
      </c>
      <c r="I704" s="105">
        <v>44875</v>
      </c>
      <c r="J704" s="85">
        <v>42353.29</v>
      </c>
      <c r="K704" s="85">
        <v>42959.28</v>
      </c>
      <c r="L704" s="85">
        <v>42353.29</v>
      </c>
      <c r="M704" s="85">
        <v>42901.27</v>
      </c>
      <c r="N704" s="123">
        <v>142073359</v>
      </c>
      <c r="O704" s="112">
        <f t="shared" si="21"/>
        <v>1.5045654408243347E-2</v>
      </c>
    </row>
    <row r="705" spans="1:15">
      <c r="A705" s="105">
        <v>44873</v>
      </c>
      <c r="B705" s="85">
        <v>68</v>
      </c>
      <c r="C705" s="85">
        <v>68.25</v>
      </c>
      <c r="D705" s="85">
        <v>67.510000000000005</v>
      </c>
      <c r="E705" s="85">
        <v>67.599999999999994</v>
      </c>
      <c r="F705" s="85">
        <v>369854</v>
      </c>
      <c r="G705" s="112">
        <f t="shared" si="20"/>
        <v>-7.390983000741258E-4</v>
      </c>
      <c r="I705" s="105">
        <v>44873</v>
      </c>
      <c r="J705" s="85">
        <v>42127.79</v>
      </c>
      <c r="K705" s="85">
        <v>42314.15</v>
      </c>
      <c r="L705" s="85">
        <v>42127.79</v>
      </c>
      <c r="M705" s="85">
        <v>42265.36</v>
      </c>
      <c r="N705" s="123">
        <v>84518015</v>
      </c>
      <c r="O705" s="112">
        <f t="shared" si="21"/>
        <v>5.1846299030426923E-3</v>
      </c>
    </row>
    <row r="706" spans="1:15">
      <c r="A706" s="105">
        <v>44872</v>
      </c>
      <c r="B706" s="85">
        <v>67.510000000000005</v>
      </c>
      <c r="C706" s="85">
        <v>68.67</v>
      </c>
      <c r="D706" s="85">
        <v>67.510000000000005</v>
      </c>
      <c r="E706" s="85">
        <v>67.650000000000006</v>
      </c>
      <c r="F706" s="85">
        <v>302170</v>
      </c>
      <c r="G706" s="112">
        <f t="shared" si="20"/>
        <v>3.411450608128197E-3</v>
      </c>
      <c r="I706" s="105">
        <v>44872</v>
      </c>
      <c r="J706" s="85">
        <v>42000.7</v>
      </c>
      <c r="K706" s="85">
        <v>42207.42</v>
      </c>
      <c r="L706" s="85">
        <v>41977.7</v>
      </c>
      <c r="M706" s="85">
        <v>42047.360000000001</v>
      </c>
      <c r="N706" s="123">
        <v>63259184</v>
      </c>
      <c r="O706" s="112">
        <f t="shared" si="21"/>
        <v>4.5644252921483996E-3</v>
      </c>
    </row>
    <row r="707" spans="1:15">
      <c r="A707" s="105">
        <v>44869</v>
      </c>
      <c r="B707" s="85">
        <v>68.010000000000005</v>
      </c>
      <c r="C707" s="85">
        <v>68.400000000000006</v>
      </c>
      <c r="D707" s="85">
        <v>67.3</v>
      </c>
      <c r="E707" s="85">
        <v>67.42</v>
      </c>
      <c r="F707" s="85">
        <v>257254</v>
      </c>
      <c r="G707" s="112">
        <f t="shared" si="20"/>
        <v>-2.4453769353204979E-2</v>
      </c>
      <c r="I707" s="105">
        <v>44869</v>
      </c>
      <c r="J707" s="85">
        <v>41797.78</v>
      </c>
      <c r="K707" s="85">
        <v>42023.13</v>
      </c>
      <c r="L707" s="85">
        <v>41718.9</v>
      </c>
      <c r="M707" s="85">
        <v>41856.31</v>
      </c>
      <c r="N707" s="123">
        <v>71112118</v>
      </c>
      <c r="O707" s="112">
        <f t="shared" si="21"/>
        <v>-5.5689248292557503E-3</v>
      </c>
    </row>
    <row r="708" spans="1:15">
      <c r="A708" s="105">
        <v>44868</v>
      </c>
      <c r="B708" s="85">
        <v>69.48</v>
      </c>
      <c r="C708" s="85">
        <v>70</v>
      </c>
      <c r="D708" s="85">
        <v>68.7</v>
      </c>
      <c r="E708" s="85">
        <v>69.11</v>
      </c>
      <c r="F708" s="85">
        <v>1513917</v>
      </c>
      <c r="G708" s="112">
        <f t="shared" ref="G708:G771" si="22">E708/E709-1</f>
        <v>-2.5977774570645762E-3</v>
      </c>
      <c r="I708" s="105">
        <v>44868</v>
      </c>
      <c r="J708" s="85">
        <v>41977.55</v>
      </c>
      <c r="K708" s="85">
        <v>42176.02</v>
      </c>
      <c r="L708" s="85">
        <v>41886.230000000003</v>
      </c>
      <c r="M708" s="85">
        <v>42090.71</v>
      </c>
      <c r="N708" s="123">
        <v>87001521</v>
      </c>
      <c r="O708" s="112">
        <f t="shared" ref="O708:O771" si="23">M708/M709-1</f>
        <v>3.4836435402039179E-3</v>
      </c>
    </row>
    <row r="709" spans="1:15">
      <c r="A709" s="105">
        <v>44867</v>
      </c>
      <c r="B709" s="85">
        <v>69.849999999999994</v>
      </c>
      <c r="C709" s="85">
        <v>70.489999999999995</v>
      </c>
      <c r="D709" s="85">
        <v>69.08</v>
      </c>
      <c r="E709" s="85">
        <v>69.290000000000006</v>
      </c>
      <c r="F709" s="85">
        <v>517560</v>
      </c>
      <c r="G709" s="112">
        <f t="shared" si="22"/>
        <v>-9.7184507646133067E-3</v>
      </c>
      <c r="I709" s="105">
        <v>44867</v>
      </c>
      <c r="J709" s="85">
        <v>41819.279999999999</v>
      </c>
      <c r="K709" s="85">
        <v>42005.13</v>
      </c>
      <c r="L709" s="85">
        <v>41726.25</v>
      </c>
      <c r="M709" s="85">
        <v>41944.59</v>
      </c>
      <c r="N709" s="123">
        <v>73243393</v>
      </c>
      <c r="O709" s="112">
        <f t="shared" si="23"/>
        <v>3.2505204061641368E-3</v>
      </c>
    </row>
    <row r="710" spans="1:15">
      <c r="A710" s="105">
        <v>44866</v>
      </c>
      <c r="B710" s="85">
        <v>70.489999999999995</v>
      </c>
      <c r="C710" s="85">
        <v>70.5</v>
      </c>
      <c r="D710" s="85">
        <v>69.7</v>
      </c>
      <c r="E710" s="85">
        <v>69.97</v>
      </c>
      <c r="F710" s="85">
        <v>992103</v>
      </c>
      <c r="G710" s="112">
        <f t="shared" si="22"/>
        <v>3.4418471246233651E-3</v>
      </c>
      <c r="I710" s="105">
        <v>44866</v>
      </c>
      <c r="J710" s="85">
        <v>41398.89</v>
      </c>
      <c r="K710" s="85">
        <v>41833.43</v>
      </c>
      <c r="L710" s="85">
        <v>41379.26</v>
      </c>
      <c r="M710" s="85">
        <v>41808.69</v>
      </c>
      <c r="N710" s="123">
        <v>76754181</v>
      </c>
      <c r="O710" s="112">
        <f t="shared" si="23"/>
        <v>1.3183920575136288E-2</v>
      </c>
    </row>
    <row r="711" spans="1:15">
      <c r="A711" s="105">
        <v>44865</v>
      </c>
      <c r="B711" s="85">
        <v>69.5</v>
      </c>
      <c r="C711" s="85">
        <v>70.48</v>
      </c>
      <c r="D711" s="85">
        <v>69.349999999999994</v>
      </c>
      <c r="E711" s="85">
        <v>69.73</v>
      </c>
      <c r="F711" s="85">
        <v>491769</v>
      </c>
      <c r="G711" s="112">
        <f t="shared" si="22"/>
        <v>2.5880661394681592E-3</v>
      </c>
      <c r="I711" s="105">
        <v>44865</v>
      </c>
      <c r="J711" s="85">
        <v>41176.69</v>
      </c>
      <c r="K711" s="85">
        <v>41376.089999999997</v>
      </c>
      <c r="L711" s="85">
        <v>41176.69</v>
      </c>
      <c r="M711" s="85">
        <v>41264.660000000003</v>
      </c>
      <c r="N711" s="123">
        <v>34660186</v>
      </c>
      <c r="O711" s="112">
        <f t="shared" si="23"/>
        <v>3.0220953502317904E-3</v>
      </c>
    </row>
    <row r="712" spans="1:15">
      <c r="A712" s="105">
        <v>44862</v>
      </c>
      <c r="B712" s="85">
        <v>70.88</v>
      </c>
      <c r="C712" s="85">
        <v>70.88</v>
      </c>
      <c r="D712" s="85">
        <v>69.13</v>
      </c>
      <c r="E712" s="85">
        <v>69.55</v>
      </c>
      <c r="F712" s="85">
        <v>356998</v>
      </c>
      <c r="G712" s="112">
        <f t="shared" si="22"/>
        <v>-3.296073373459496E-3</v>
      </c>
      <c r="I712" s="105">
        <v>44862</v>
      </c>
      <c r="J712" s="85">
        <v>41611.599999999999</v>
      </c>
      <c r="K712" s="85">
        <v>41643.199999999997</v>
      </c>
      <c r="L712" s="85">
        <v>41115.21</v>
      </c>
      <c r="M712" s="85">
        <v>41140.33</v>
      </c>
      <c r="N712" s="123">
        <v>77875642</v>
      </c>
      <c r="O712" s="112">
        <f t="shared" si="23"/>
        <v>-1.1117507574601171E-2</v>
      </c>
    </row>
    <row r="713" spans="1:15">
      <c r="A713" s="105">
        <v>44861</v>
      </c>
      <c r="B713" s="85">
        <v>70.989999999999995</v>
      </c>
      <c r="C713" s="85">
        <v>70.989999999999995</v>
      </c>
      <c r="D713" s="85">
        <v>69.459999999999994</v>
      </c>
      <c r="E713" s="85">
        <v>69.78</v>
      </c>
      <c r="F713" s="85">
        <v>399202</v>
      </c>
      <c r="G713" s="112">
        <f t="shared" si="22"/>
        <v>-1.0021474588403079E-3</v>
      </c>
      <c r="I713" s="105">
        <v>44861</v>
      </c>
      <c r="J713" s="85">
        <v>41543.79</v>
      </c>
      <c r="K713" s="85">
        <v>41711.660000000003</v>
      </c>
      <c r="L713" s="85">
        <v>41318.660000000003</v>
      </c>
      <c r="M713" s="85">
        <v>41602.85</v>
      </c>
      <c r="N713" s="123">
        <v>88936043</v>
      </c>
      <c r="O713" s="112">
        <f t="shared" si="23"/>
        <v>1.512276230902998E-3</v>
      </c>
    </row>
    <row r="714" spans="1:15">
      <c r="A714" s="105">
        <v>44860</v>
      </c>
      <c r="B714" s="85">
        <v>71</v>
      </c>
      <c r="C714" s="85">
        <v>71.099999999999994</v>
      </c>
      <c r="D714" s="85">
        <v>69.52</v>
      </c>
      <c r="E714" s="85">
        <v>69.849999999999994</v>
      </c>
      <c r="F714" s="85">
        <v>646270</v>
      </c>
      <c r="G714" s="112">
        <f t="shared" si="22"/>
        <v>-1.744267829511903E-2</v>
      </c>
      <c r="I714" s="105">
        <v>44860</v>
      </c>
      <c r="J714" s="85">
        <v>41996.480000000003</v>
      </c>
      <c r="K714" s="85">
        <v>41996.480000000003</v>
      </c>
      <c r="L714" s="85">
        <v>41488.800000000003</v>
      </c>
      <c r="M714" s="85">
        <v>41540.03</v>
      </c>
      <c r="N714" s="123">
        <v>107067319</v>
      </c>
      <c r="O714" s="112">
        <f t="shared" si="23"/>
        <v>-1.540625010369745E-2</v>
      </c>
    </row>
    <row r="715" spans="1:15">
      <c r="A715" s="105">
        <v>44859</v>
      </c>
      <c r="B715" s="85">
        <v>71.510000000000005</v>
      </c>
      <c r="C715" s="85">
        <v>71.680000000000007</v>
      </c>
      <c r="D715" s="85">
        <v>70.8</v>
      </c>
      <c r="E715" s="85">
        <v>71.09</v>
      </c>
      <c r="F715" s="85">
        <v>524964</v>
      </c>
      <c r="G715" s="112">
        <f t="shared" si="22"/>
        <v>-5.7342657342657199E-3</v>
      </c>
      <c r="I715" s="105">
        <v>44859</v>
      </c>
      <c r="J715" s="85">
        <v>42316.99</v>
      </c>
      <c r="K715" s="85">
        <v>42523.51</v>
      </c>
      <c r="L715" s="85">
        <v>42156.68</v>
      </c>
      <c r="M715" s="85">
        <v>42190.02</v>
      </c>
      <c r="N715" s="123">
        <v>72238426</v>
      </c>
      <c r="O715" s="112">
        <f t="shared" si="23"/>
        <v>-3.7124033850621796E-3</v>
      </c>
    </row>
    <row r="716" spans="1:15">
      <c r="A716" s="105">
        <v>44858</v>
      </c>
      <c r="B716" s="85">
        <v>71.849999999999994</v>
      </c>
      <c r="C716" s="85">
        <v>71.849999999999994</v>
      </c>
      <c r="D716" s="85">
        <v>70.8</v>
      </c>
      <c r="E716" s="85">
        <v>71.5</v>
      </c>
      <c r="F716" s="85">
        <v>1516345</v>
      </c>
      <c r="G716" s="112">
        <f t="shared" si="22"/>
        <v>1.3987970345508138E-4</v>
      </c>
      <c r="I716" s="105">
        <v>44858</v>
      </c>
      <c r="J716" s="85">
        <v>42581.86</v>
      </c>
      <c r="K716" s="85">
        <v>42675.22</v>
      </c>
      <c r="L716" s="85">
        <v>42329.94</v>
      </c>
      <c r="M716" s="85">
        <v>42347.23</v>
      </c>
      <c r="N716" s="123">
        <v>65059621</v>
      </c>
      <c r="O716" s="112">
        <f t="shared" si="23"/>
        <v>3.1684191874254974E-3</v>
      </c>
    </row>
    <row r="717" spans="1:15">
      <c r="A717" s="105">
        <v>44855</v>
      </c>
      <c r="B717" s="85">
        <v>71.489999999999995</v>
      </c>
      <c r="C717" s="85">
        <v>71.89</v>
      </c>
      <c r="D717" s="85">
        <v>70.5</v>
      </c>
      <c r="E717" s="85">
        <v>71.489999999999995</v>
      </c>
      <c r="F717" s="85">
        <v>3101946</v>
      </c>
      <c r="G717" s="112">
        <f t="shared" si="22"/>
        <v>0</v>
      </c>
      <c r="I717" s="105">
        <v>44855</v>
      </c>
      <c r="J717" s="85">
        <v>42189.36</v>
      </c>
      <c r="K717" s="85">
        <v>42245.51</v>
      </c>
      <c r="L717" s="85">
        <v>41778.5</v>
      </c>
      <c r="M717" s="85">
        <v>42213.48</v>
      </c>
      <c r="N717" s="123">
        <v>92805300</v>
      </c>
      <c r="O717" s="112">
        <f t="shared" si="23"/>
        <v>1.8140809131348412E-3</v>
      </c>
    </row>
    <row r="718" spans="1:15">
      <c r="A718" s="105">
        <v>44854</v>
      </c>
      <c r="B718" s="85">
        <v>71.739999999999995</v>
      </c>
      <c r="C718" s="85">
        <v>71.739999999999995</v>
      </c>
      <c r="D718" s="85">
        <v>71.37</v>
      </c>
      <c r="E718" s="85">
        <v>71.489999999999995</v>
      </c>
      <c r="F718" s="85">
        <v>3777764</v>
      </c>
      <c r="G718" s="112">
        <f t="shared" si="22"/>
        <v>-5.5920592758296195E-4</v>
      </c>
      <c r="I718" s="105">
        <v>44854</v>
      </c>
      <c r="J718" s="85">
        <v>42304.7</v>
      </c>
      <c r="K718" s="85">
        <v>42422.22</v>
      </c>
      <c r="L718" s="85">
        <v>42096.05</v>
      </c>
      <c r="M718" s="85">
        <v>42137.04</v>
      </c>
      <c r="N718" s="123">
        <v>84505502</v>
      </c>
      <c r="O718" s="112">
        <f t="shared" si="23"/>
        <v>-2.1079404775015131E-3</v>
      </c>
    </row>
    <row r="719" spans="1:15">
      <c r="A719" s="105">
        <v>44853</v>
      </c>
      <c r="B719" s="85">
        <v>71.5</v>
      </c>
      <c r="C719" s="85">
        <v>71.8</v>
      </c>
      <c r="D719" s="85">
        <v>71.400000000000006</v>
      </c>
      <c r="E719" s="85">
        <v>71.53</v>
      </c>
      <c r="F719" s="85">
        <v>1289881</v>
      </c>
      <c r="G719" s="112">
        <f t="shared" si="22"/>
        <v>-2.7952480782666989E-4</v>
      </c>
      <c r="I719" s="105">
        <v>44853</v>
      </c>
      <c r="J719" s="85">
        <v>41930.800000000003</v>
      </c>
      <c r="K719" s="85">
        <v>42265.85</v>
      </c>
      <c r="L719" s="85">
        <v>41917.550000000003</v>
      </c>
      <c r="M719" s="85">
        <v>42226.05</v>
      </c>
      <c r="N719" s="123">
        <v>66376599</v>
      </c>
      <c r="O719" s="112">
        <f t="shared" si="23"/>
        <v>9.2446663731624579E-3</v>
      </c>
    </row>
    <row r="720" spans="1:15">
      <c r="A720" s="105">
        <v>44852</v>
      </c>
      <c r="B720" s="85">
        <v>71.94</v>
      </c>
      <c r="C720" s="85">
        <v>71.94</v>
      </c>
      <c r="D720" s="85">
        <v>71.3</v>
      </c>
      <c r="E720" s="85">
        <v>71.55</v>
      </c>
      <c r="F720" s="85">
        <v>1366844</v>
      </c>
      <c r="G720" s="112">
        <f t="shared" si="22"/>
        <v>5.5936232694708821E-4</v>
      </c>
      <c r="I720" s="105">
        <v>44852</v>
      </c>
      <c r="J720" s="85">
        <v>41851.83</v>
      </c>
      <c r="K720" s="85">
        <v>42008.21</v>
      </c>
      <c r="L720" s="85">
        <v>41755.449999999997</v>
      </c>
      <c r="M720" s="85">
        <v>41839.26</v>
      </c>
      <c r="N720" s="123">
        <v>62269613</v>
      </c>
      <c r="O720" s="112">
        <f t="shared" si="23"/>
        <v>2.0071631367881704E-3</v>
      </c>
    </row>
    <row r="721" spans="1:15">
      <c r="A721" s="105">
        <v>44851</v>
      </c>
      <c r="B721" s="85">
        <v>71.900000000000006</v>
      </c>
      <c r="C721" s="85">
        <v>71.900000000000006</v>
      </c>
      <c r="D721" s="85">
        <v>71.400000000000006</v>
      </c>
      <c r="E721" s="85">
        <v>71.510000000000005</v>
      </c>
      <c r="F721" s="85">
        <v>1290144</v>
      </c>
      <c r="G721" s="112">
        <f t="shared" si="22"/>
        <v>-5.5904961565322875E-4</v>
      </c>
      <c r="I721" s="105">
        <v>44851</v>
      </c>
      <c r="J721" s="85">
        <v>41957.62</v>
      </c>
      <c r="K721" s="85">
        <v>41988.97</v>
      </c>
      <c r="L721" s="85">
        <v>41725.96</v>
      </c>
      <c r="M721" s="85">
        <v>41755.449999999997</v>
      </c>
      <c r="N721" s="123">
        <v>50690020</v>
      </c>
      <c r="O721" s="112">
        <f t="shared" si="23"/>
        <v>-4.6020715877803653E-3</v>
      </c>
    </row>
    <row r="722" spans="1:15">
      <c r="A722" s="105">
        <v>44848</v>
      </c>
      <c r="B722" s="85">
        <v>72</v>
      </c>
      <c r="C722" s="85">
        <v>72.5</v>
      </c>
      <c r="D722" s="85">
        <v>70.61</v>
      </c>
      <c r="E722" s="85">
        <v>71.55</v>
      </c>
      <c r="F722" s="85">
        <v>2259053</v>
      </c>
      <c r="G722" s="112">
        <f t="shared" si="22"/>
        <v>2.7960296379125893E-4</v>
      </c>
      <c r="I722" s="105">
        <v>44848</v>
      </c>
      <c r="J722" s="85">
        <v>42153.55</v>
      </c>
      <c r="K722" s="85">
        <v>42238.6</v>
      </c>
      <c r="L722" s="85">
        <v>41895.9</v>
      </c>
      <c r="M722" s="85">
        <v>41948.5</v>
      </c>
      <c r="N722" s="123">
        <v>88303910</v>
      </c>
      <c r="O722" s="112">
        <f t="shared" si="23"/>
        <v>-3.2604883556702768E-3</v>
      </c>
    </row>
    <row r="723" spans="1:15">
      <c r="A723" s="105">
        <v>44847</v>
      </c>
      <c r="B723" s="85">
        <v>71.989999999999995</v>
      </c>
      <c r="C723" s="85">
        <v>71.989999999999995</v>
      </c>
      <c r="D723" s="85">
        <v>71.349999999999994</v>
      </c>
      <c r="E723" s="85">
        <v>71.53</v>
      </c>
      <c r="F723" s="85">
        <v>1179978</v>
      </c>
      <c r="G723" s="112">
        <f t="shared" si="22"/>
        <v>-1.5354550530429778E-3</v>
      </c>
      <c r="I723" s="105">
        <v>44847</v>
      </c>
      <c r="J723" s="85">
        <v>41970.9</v>
      </c>
      <c r="K723" s="85">
        <v>42134.84</v>
      </c>
      <c r="L723" s="85">
        <v>41900.639999999999</v>
      </c>
      <c r="M723" s="85">
        <v>42085.72</v>
      </c>
      <c r="N723" s="123">
        <v>87608679</v>
      </c>
      <c r="O723" s="112">
        <f t="shared" si="23"/>
        <v>1.8706343731089703E-3</v>
      </c>
    </row>
    <row r="724" spans="1:15">
      <c r="A724" s="105">
        <v>44846</v>
      </c>
      <c r="B724" s="85">
        <v>71.5</v>
      </c>
      <c r="C724" s="85">
        <v>72</v>
      </c>
      <c r="D724" s="85">
        <v>70.010000000000005</v>
      </c>
      <c r="E724" s="85">
        <v>71.64</v>
      </c>
      <c r="F724" s="85">
        <v>883409</v>
      </c>
      <c r="G724" s="112">
        <f t="shared" si="22"/>
        <v>1.6778523489933139E-3</v>
      </c>
      <c r="I724" s="105">
        <v>44846</v>
      </c>
      <c r="J724" s="85">
        <v>42121.67</v>
      </c>
      <c r="K724" s="85">
        <v>42195.360000000001</v>
      </c>
      <c r="L724" s="85">
        <v>41950.98</v>
      </c>
      <c r="M724" s="85">
        <v>42007.14</v>
      </c>
      <c r="N724" s="123">
        <v>113157292</v>
      </c>
      <c r="O724" s="112">
        <f t="shared" si="23"/>
        <v>-3.5188782099030425E-3</v>
      </c>
    </row>
    <row r="725" spans="1:15">
      <c r="A725" s="105">
        <v>44845</v>
      </c>
      <c r="B725" s="85">
        <v>71.75</v>
      </c>
      <c r="C725" s="85">
        <v>72.900000000000006</v>
      </c>
      <c r="D725" s="85">
        <v>71.400000000000006</v>
      </c>
      <c r="E725" s="85">
        <v>71.52</v>
      </c>
      <c r="F725" s="85">
        <v>1303660</v>
      </c>
      <c r="G725" s="112">
        <f t="shared" si="22"/>
        <v>0</v>
      </c>
      <c r="I725" s="105">
        <v>44845</v>
      </c>
      <c r="J725" s="85">
        <v>42324.18</v>
      </c>
      <c r="K725" s="85">
        <v>42411.58</v>
      </c>
      <c r="L725" s="85">
        <v>42053.81</v>
      </c>
      <c r="M725" s="85">
        <v>42155.48</v>
      </c>
      <c r="N725" s="123">
        <v>151153665</v>
      </c>
      <c r="O725" s="112">
        <f t="shared" si="23"/>
        <v>-1.3304387131131135E-3</v>
      </c>
    </row>
    <row r="726" spans="1:15">
      <c r="A726" s="105">
        <v>44844</v>
      </c>
      <c r="B726" s="85">
        <v>72.489999999999995</v>
      </c>
      <c r="C726" s="85">
        <v>72.489999999999995</v>
      </c>
      <c r="D726" s="85">
        <v>70.7</v>
      </c>
      <c r="E726" s="85">
        <v>71.52</v>
      </c>
      <c r="F726" s="85">
        <v>1457962</v>
      </c>
      <c r="G726" s="112">
        <f t="shared" si="22"/>
        <v>-8.382229673092878E-4</v>
      </c>
      <c r="I726" s="105">
        <v>44844</v>
      </c>
      <c r="J726" s="85">
        <v>42195.48</v>
      </c>
      <c r="K726" s="85">
        <v>42442.239999999998</v>
      </c>
      <c r="L726" s="85">
        <v>42071.67</v>
      </c>
      <c r="M726" s="85">
        <v>42211.64</v>
      </c>
      <c r="N726" s="123">
        <v>139282539</v>
      </c>
      <c r="O726" s="112">
        <f t="shared" si="23"/>
        <v>3.0031899537248385E-3</v>
      </c>
    </row>
    <row r="727" spans="1:15">
      <c r="A727" s="105">
        <v>44841</v>
      </c>
      <c r="B727" s="85">
        <v>71</v>
      </c>
      <c r="C727" s="85">
        <v>72</v>
      </c>
      <c r="D727" s="85">
        <v>70.099999999999994</v>
      </c>
      <c r="E727" s="85">
        <v>71.58</v>
      </c>
      <c r="F727" s="85">
        <v>2131520</v>
      </c>
      <c r="G727" s="112">
        <f t="shared" si="22"/>
        <v>6.3264445381696621E-3</v>
      </c>
      <c r="I727" s="105">
        <v>44841</v>
      </c>
      <c r="J727" s="85">
        <v>42096.35</v>
      </c>
      <c r="K727" s="85">
        <v>42390.76</v>
      </c>
      <c r="L727" s="85">
        <v>41992.11</v>
      </c>
      <c r="M727" s="85">
        <v>42085.25</v>
      </c>
      <c r="N727" s="123">
        <v>104268280</v>
      </c>
      <c r="O727" s="112">
        <f t="shared" si="23"/>
        <v>-1.7865033608416292E-3</v>
      </c>
    </row>
    <row r="728" spans="1:15">
      <c r="A728" s="105">
        <v>44840</v>
      </c>
      <c r="B728" s="85">
        <v>69.98</v>
      </c>
      <c r="C728" s="85">
        <v>71.39</v>
      </c>
      <c r="D728" s="85">
        <v>69.5</v>
      </c>
      <c r="E728" s="85">
        <v>71.13</v>
      </c>
      <c r="F728" s="85">
        <v>2492074</v>
      </c>
      <c r="G728" s="112">
        <f t="shared" si="22"/>
        <v>2.1835943111621736E-2</v>
      </c>
      <c r="I728" s="105">
        <v>44840</v>
      </c>
      <c r="J728" s="85">
        <v>41719.800000000003</v>
      </c>
      <c r="K728" s="85">
        <v>42201.55</v>
      </c>
      <c r="L728" s="85">
        <v>41719.800000000003</v>
      </c>
      <c r="M728" s="85">
        <v>42160.57</v>
      </c>
      <c r="N728" s="123">
        <v>160921193</v>
      </c>
      <c r="O728" s="112">
        <f t="shared" si="23"/>
        <v>1.3197098296573451E-2</v>
      </c>
    </row>
    <row r="729" spans="1:15">
      <c r="A729" s="105">
        <v>44839</v>
      </c>
      <c r="B729" s="85">
        <v>69.03</v>
      </c>
      <c r="C729" s="85">
        <v>70.59</v>
      </c>
      <c r="D729" s="85">
        <v>69.03</v>
      </c>
      <c r="E729" s="85">
        <v>69.61</v>
      </c>
      <c r="F729" s="85">
        <v>940289</v>
      </c>
      <c r="G729" s="112">
        <f t="shared" si="22"/>
        <v>3.4597088078418547E-3</v>
      </c>
      <c r="I729" s="105">
        <v>44839</v>
      </c>
      <c r="J729" s="85">
        <v>41428.53</v>
      </c>
      <c r="K729" s="85">
        <v>41668.46</v>
      </c>
      <c r="L729" s="85">
        <v>41427.19</v>
      </c>
      <c r="M729" s="85">
        <v>41611.42</v>
      </c>
      <c r="N729" s="123">
        <v>127134199</v>
      </c>
      <c r="O729" s="112">
        <f t="shared" si="23"/>
        <v>6.3116635062803184E-3</v>
      </c>
    </row>
    <row r="730" spans="1:15">
      <c r="A730" s="105">
        <v>44838</v>
      </c>
      <c r="B730" s="85">
        <v>68.5</v>
      </c>
      <c r="C730" s="85">
        <v>70.599999999999994</v>
      </c>
      <c r="D730" s="85">
        <v>68.39</v>
      </c>
      <c r="E730" s="85">
        <v>69.37</v>
      </c>
      <c r="F730" s="85">
        <v>3411030</v>
      </c>
      <c r="G730" s="112">
        <f t="shared" si="22"/>
        <v>1.7304590115852836E-2</v>
      </c>
      <c r="I730" s="105">
        <v>44838</v>
      </c>
      <c r="J730" s="85">
        <v>41346.43</v>
      </c>
      <c r="K730" s="85">
        <v>41587.730000000003</v>
      </c>
      <c r="L730" s="85">
        <v>41329.51</v>
      </c>
      <c r="M730" s="85">
        <v>41350.43</v>
      </c>
      <c r="N730" s="123">
        <v>115729029</v>
      </c>
      <c r="O730" s="112">
        <f t="shared" si="23"/>
        <v>3.366277052390565E-3</v>
      </c>
    </row>
    <row r="731" spans="1:15">
      <c r="A731" s="105">
        <v>44837</v>
      </c>
      <c r="B731" s="85">
        <v>67.260000000000005</v>
      </c>
      <c r="C731" s="85">
        <v>70.95</v>
      </c>
      <c r="D731" s="85">
        <v>67.05</v>
      </c>
      <c r="E731" s="85">
        <v>68.19</v>
      </c>
      <c r="F731" s="85">
        <v>13165202</v>
      </c>
      <c r="G731" s="112">
        <f t="shared" si="22"/>
        <v>-2.1804619136422287E-2</v>
      </c>
      <c r="I731" s="105">
        <v>44837</v>
      </c>
      <c r="J731" s="85">
        <v>41126.99</v>
      </c>
      <c r="K731" s="85">
        <v>41403.730000000003</v>
      </c>
      <c r="L731" s="85">
        <v>41090.519999999997</v>
      </c>
      <c r="M731" s="85">
        <v>41211.699999999997</v>
      </c>
      <c r="N731" s="123">
        <v>121798444</v>
      </c>
      <c r="O731" s="112">
        <f t="shared" si="23"/>
        <v>2.0187864086049778E-3</v>
      </c>
    </row>
    <row r="732" spans="1:15">
      <c r="A732" s="105">
        <v>44834</v>
      </c>
      <c r="B732" s="85">
        <v>69.709999999999994</v>
      </c>
      <c r="C732" s="85">
        <v>69.709999999999994</v>
      </c>
      <c r="D732" s="85">
        <v>69.709999999999994</v>
      </c>
      <c r="E732" s="85">
        <v>69.709999999999994</v>
      </c>
      <c r="F732" s="85">
        <v>697317</v>
      </c>
      <c r="G732" s="112">
        <f t="shared" si="22"/>
        <v>-7.497346072186839E-2</v>
      </c>
      <c r="I732" s="105">
        <v>44834</v>
      </c>
      <c r="J732" s="85">
        <v>40846.29</v>
      </c>
      <c r="K732" s="85">
        <v>41135.800000000003</v>
      </c>
      <c r="L732" s="85">
        <v>40753.94</v>
      </c>
      <c r="M732" s="85">
        <v>41128.67</v>
      </c>
      <c r="N732" s="123">
        <v>128618711</v>
      </c>
      <c r="O732" s="112">
        <f t="shared" si="23"/>
        <v>2.799297603298001E-3</v>
      </c>
    </row>
    <row r="733" spans="1:15">
      <c r="A733" s="105">
        <v>44833</v>
      </c>
      <c r="B733" s="85">
        <v>80.010000000000005</v>
      </c>
      <c r="C733" s="85">
        <v>80.010000000000005</v>
      </c>
      <c r="D733" s="85">
        <v>75.36</v>
      </c>
      <c r="E733" s="85">
        <v>75.36</v>
      </c>
      <c r="F733" s="85">
        <v>1825607</v>
      </c>
      <c r="G733" s="112">
        <f t="shared" si="22"/>
        <v>-7.4996931385786225E-2</v>
      </c>
      <c r="I733" s="105">
        <v>44833</v>
      </c>
      <c r="J733" s="85">
        <v>41344.99</v>
      </c>
      <c r="K733" s="85">
        <v>41344.99</v>
      </c>
      <c r="L733" s="85">
        <v>40909.599999999999</v>
      </c>
      <c r="M733" s="85">
        <v>41013.86</v>
      </c>
      <c r="N733" s="123">
        <v>73950506</v>
      </c>
      <c r="O733" s="112">
        <f t="shared" si="23"/>
        <v>-1.0166976669314098E-2</v>
      </c>
    </row>
    <row r="734" spans="1:15">
      <c r="A734" s="105">
        <v>44832</v>
      </c>
      <c r="B734" s="85">
        <v>81.7</v>
      </c>
      <c r="C734" s="85">
        <v>84.1</v>
      </c>
      <c r="D734" s="85">
        <v>81.150000000000006</v>
      </c>
      <c r="E734" s="85">
        <v>81.47</v>
      </c>
      <c r="F734" s="85">
        <v>1037680</v>
      </c>
      <c r="G734" s="112">
        <f t="shared" si="22"/>
        <v>5.057981741919626E-3</v>
      </c>
      <c r="I734" s="105">
        <v>44832</v>
      </c>
      <c r="J734" s="85">
        <v>41577.65</v>
      </c>
      <c r="K734" s="85">
        <v>41820.949999999997</v>
      </c>
      <c r="L734" s="85">
        <v>41382.559999999998</v>
      </c>
      <c r="M734" s="85">
        <v>41435.129999999997</v>
      </c>
      <c r="N734" s="123">
        <v>105981567</v>
      </c>
      <c r="O734" s="112">
        <f t="shared" si="23"/>
        <v>-2.0015304120625244E-3</v>
      </c>
    </row>
    <row r="735" spans="1:15">
      <c r="A735" s="105">
        <v>44831</v>
      </c>
      <c r="B735" s="85">
        <v>81.790000000000006</v>
      </c>
      <c r="C735" s="85">
        <v>81.790000000000006</v>
      </c>
      <c r="D735" s="85">
        <v>80.62</v>
      </c>
      <c r="E735" s="85">
        <v>81.06</v>
      </c>
      <c r="F735" s="85">
        <v>937046</v>
      </c>
      <c r="G735" s="112">
        <f t="shared" si="22"/>
        <v>1.2338062924133197E-4</v>
      </c>
      <c r="I735" s="105">
        <v>44831</v>
      </c>
      <c r="J735" s="85">
        <v>41311.949999999997</v>
      </c>
      <c r="K735" s="85">
        <v>41589.89</v>
      </c>
      <c r="L735" s="85">
        <v>41265.160000000003</v>
      </c>
      <c r="M735" s="85">
        <v>41518.230000000003</v>
      </c>
      <c r="N735" s="123">
        <v>124680525</v>
      </c>
      <c r="O735" s="112">
        <f t="shared" si="23"/>
        <v>8.9107236327001793E-3</v>
      </c>
    </row>
    <row r="736" spans="1:15">
      <c r="A736" s="105">
        <v>44830</v>
      </c>
      <c r="B736" s="85">
        <v>80.61</v>
      </c>
      <c r="C736" s="85">
        <v>82.49</v>
      </c>
      <c r="D736" s="85">
        <v>80.61</v>
      </c>
      <c r="E736" s="85">
        <v>81.05</v>
      </c>
      <c r="F736" s="85">
        <v>522497</v>
      </c>
      <c r="G736" s="112">
        <f t="shared" si="22"/>
        <v>1.3590313812701371E-3</v>
      </c>
      <c r="I736" s="105">
        <v>44830</v>
      </c>
      <c r="J736" s="85">
        <v>40651.39</v>
      </c>
      <c r="K736" s="85">
        <v>41196.629999999997</v>
      </c>
      <c r="L736" s="85">
        <v>40651.39</v>
      </c>
      <c r="M736" s="85">
        <v>41151.54</v>
      </c>
      <c r="N736" s="123">
        <v>139318855</v>
      </c>
      <c r="O736" s="112">
        <f t="shared" si="23"/>
        <v>1.3080434591549395E-2</v>
      </c>
    </row>
    <row r="737" spans="1:15">
      <c r="A737" s="105">
        <v>44827</v>
      </c>
      <c r="B737" s="85">
        <v>82.7</v>
      </c>
      <c r="C737" s="85">
        <v>82.7</v>
      </c>
      <c r="D737" s="85">
        <v>80.5</v>
      </c>
      <c r="E737" s="85">
        <v>80.94</v>
      </c>
      <c r="F737" s="85">
        <v>4937798</v>
      </c>
      <c r="G737" s="112">
        <f t="shared" si="22"/>
        <v>-1.0634396773010701E-2</v>
      </c>
      <c r="I737" s="105">
        <v>44827</v>
      </c>
      <c r="J737" s="85">
        <v>41021.730000000003</v>
      </c>
      <c r="K737" s="85">
        <v>41132.11</v>
      </c>
      <c r="L737" s="85">
        <v>40512.839999999997</v>
      </c>
      <c r="M737" s="85">
        <v>40620.21</v>
      </c>
      <c r="N737" s="123">
        <v>90942873</v>
      </c>
      <c r="O737" s="112">
        <f t="shared" si="23"/>
        <v>-7.5190670434263085E-3</v>
      </c>
    </row>
    <row r="738" spans="1:15">
      <c r="A738" s="105">
        <v>44826</v>
      </c>
      <c r="B738" s="85">
        <v>82.7</v>
      </c>
      <c r="C738" s="85">
        <v>82.7</v>
      </c>
      <c r="D738" s="85">
        <v>80.11</v>
      </c>
      <c r="E738" s="85">
        <v>81.81</v>
      </c>
      <c r="F738" s="85">
        <v>604518</v>
      </c>
      <c r="G738" s="112">
        <f t="shared" si="22"/>
        <v>-1.2208521548039419E-3</v>
      </c>
      <c r="I738" s="105">
        <v>44826</v>
      </c>
      <c r="J738" s="85">
        <v>40970.5</v>
      </c>
      <c r="K738" s="85">
        <v>40986.949999999997</v>
      </c>
      <c r="L738" s="85">
        <v>40417.919999999998</v>
      </c>
      <c r="M738" s="85">
        <v>40927.949999999997</v>
      </c>
      <c r="N738" s="123">
        <v>104058372</v>
      </c>
      <c r="O738" s="112">
        <f t="shared" si="23"/>
        <v>-9.1857603383149744E-4</v>
      </c>
    </row>
    <row r="739" spans="1:15">
      <c r="A739" s="105">
        <v>44825</v>
      </c>
      <c r="B739" s="85">
        <v>82.04</v>
      </c>
      <c r="C739" s="85">
        <v>83</v>
      </c>
      <c r="D739" s="85">
        <v>81.38</v>
      </c>
      <c r="E739" s="85">
        <v>81.91</v>
      </c>
      <c r="F739" s="85">
        <v>257611</v>
      </c>
      <c r="G739" s="112">
        <f t="shared" si="22"/>
        <v>-1.5845928815213517E-3</v>
      </c>
      <c r="I739" s="105">
        <v>44825</v>
      </c>
      <c r="J739" s="85">
        <v>41267.42</v>
      </c>
      <c r="K739" s="85">
        <v>41358.97</v>
      </c>
      <c r="L739" s="85">
        <v>40871.53</v>
      </c>
      <c r="M739" s="85">
        <v>40965.58</v>
      </c>
      <c r="N739" s="123">
        <v>113077630</v>
      </c>
      <c r="O739" s="112">
        <f t="shared" si="23"/>
        <v>-6.1941863971465283E-3</v>
      </c>
    </row>
    <row r="740" spans="1:15">
      <c r="A740" s="105">
        <v>44824</v>
      </c>
      <c r="B740" s="85">
        <v>82.4</v>
      </c>
      <c r="C740" s="85">
        <v>83.3</v>
      </c>
      <c r="D740" s="85">
        <v>81.510000000000005</v>
      </c>
      <c r="E740" s="85">
        <v>82.04</v>
      </c>
      <c r="F740" s="85">
        <v>619915</v>
      </c>
      <c r="G740" s="112">
        <f t="shared" si="22"/>
        <v>1.8317254854072207E-3</v>
      </c>
      <c r="I740" s="105">
        <v>44824</v>
      </c>
      <c r="J740" s="85">
        <v>41572</v>
      </c>
      <c r="K740" s="85">
        <v>41643</v>
      </c>
      <c r="L740" s="85">
        <v>41077.46</v>
      </c>
      <c r="M740" s="85">
        <v>41220.910000000003</v>
      </c>
      <c r="N740" s="123">
        <v>86156455</v>
      </c>
      <c r="O740" s="112">
        <f t="shared" si="23"/>
        <v>-7.217623834343212E-3</v>
      </c>
    </row>
    <row r="741" spans="1:15">
      <c r="A741" s="105">
        <v>44823</v>
      </c>
      <c r="B741" s="85">
        <v>83.4</v>
      </c>
      <c r="C741" s="85">
        <v>84.78</v>
      </c>
      <c r="D741" s="85">
        <v>81.5</v>
      </c>
      <c r="E741" s="85">
        <v>81.89</v>
      </c>
      <c r="F741" s="85">
        <v>715849</v>
      </c>
      <c r="G741" s="112">
        <f t="shared" si="22"/>
        <v>-1.5153337342152851E-2</v>
      </c>
      <c r="I741" s="105">
        <v>44823</v>
      </c>
      <c r="J741" s="85">
        <v>41745.14</v>
      </c>
      <c r="K741" s="85">
        <v>41896.620000000003</v>
      </c>
      <c r="L741" s="85">
        <v>41502.71</v>
      </c>
      <c r="M741" s="85">
        <v>41520.589999999997</v>
      </c>
      <c r="N741" s="123">
        <v>78085625</v>
      </c>
      <c r="O741" s="112">
        <f t="shared" si="23"/>
        <v>-3.8124266875626533E-3</v>
      </c>
    </row>
    <row r="742" spans="1:15">
      <c r="A742" s="105">
        <v>44820</v>
      </c>
      <c r="B742" s="85">
        <v>84</v>
      </c>
      <c r="C742" s="85">
        <v>86</v>
      </c>
      <c r="D742" s="85">
        <v>82.7</v>
      </c>
      <c r="E742" s="85">
        <v>83.15</v>
      </c>
      <c r="F742" s="85">
        <v>1606236</v>
      </c>
      <c r="G742" s="112">
        <f t="shared" si="22"/>
        <v>-1.6674550614947936E-2</v>
      </c>
      <c r="I742" s="105">
        <v>44820</v>
      </c>
      <c r="J742" s="85">
        <v>41837.75</v>
      </c>
      <c r="K742" s="85">
        <v>41921.35</v>
      </c>
      <c r="L742" s="85">
        <v>41603.42</v>
      </c>
      <c r="M742" s="85">
        <v>41679.49</v>
      </c>
      <c r="N742" s="123">
        <v>122860253</v>
      </c>
      <c r="O742" s="112">
        <f t="shared" si="23"/>
        <v>-2.2167911636692406E-3</v>
      </c>
    </row>
    <row r="743" spans="1:15">
      <c r="A743" s="105">
        <v>44819</v>
      </c>
      <c r="B743" s="85">
        <v>87.49</v>
      </c>
      <c r="C743" s="85">
        <v>87.6</v>
      </c>
      <c r="D743" s="85">
        <v>83.3</v>
      </c>
      <c r="E743" s="85">
        <v>84.56</v>
      </c>
      <c r="F743" s="85">
        <v>422866</v>
      </c>
      <c r="G743" s="112">
        <f t="shared" si="22"/>
        <v>-2.5357307514983884E-2</v>
      </c>
      <c r="I743" s="105">
        <v>44819</v>
      </c>
      <c r="J743" s="85">
        <v>42129.27</v>
      </c>
      <c r="K743" s="85">
        <v>42313.35</v>
      </c>
      <c r="L743" s="85">
        <v>41724.81</v>
      </c>
      <c r="M743" s="85">
        <v>41772.089999999997</v>
      </c>
      <c r="N743" s="123">
        <v>123988185</v>
      </c>
      <c r="O743" s="112">
        <f t="shared" si="23"/>
        <v>-5.7062512407223265E-3</v>
      </c>
    </row>
    <row r="744" spans="1:15">
      <c r="A744" s="105">
        <v>44818</v>
      </c>
      <c r="B744" s="85">
        <v>88.49</v>
      </c>
      <c r="C744" s="85">
        <v>88.49</v>
      </c>
      <c r="D744" s="85">
        <v>86.52</v>
      </c>
      <c r="E744" s="85">
        <v>86.76</v>
      </c>
      <c r="F744" s="85">
        <v>193026</v>
      </c>
      <c r="G744" s="112">
        <f t="shared" si="22"/>
        <v>-1.3978861234231088E-2</v>
      </c>
      <c r="I744" s="105">
        <v>44818</v>
      </c>
      <c r="J744" s="85">
        <v>41981.5</v>
      </c>
      <c r="K744" s="85">
        <v>42084.94</v>
      </c>
      <c r="L744" s="85">
        <v>41912.839999999997</v>
      </c>
      <c r="M744" s="85">
        <v>42011.82</v>
      </c>
      <c r="N744" s="123">
        <v>94120649</v>
      </c>
      <c r="O744" s="112">
        <f t="shared" si="23"/>
        <v>2.4951584878007971E-4</v>
      </c>
    </row>
    <row r="745" spans="1:15">
      <c r="A745" s="105">
        <v>44817</v>
      </c>
      <c r="B745" s="85">
        <v>87.53</v>
      </c>
      <c r="C745" s="85">
        <v>88.75</v>
      </c>
      <c r="D745" s="85">
        <v>86.81</v>
      </c>
      <c r="E745" s="85">
        <v>87.99</v>
      </c>
      <c r="F745" s="85">
        <v>409207</v>
      </c>
      <c r="G745" s="112">
        <f t="shared" si="22"/>
        <v>9.7544181776449967E-3</v>
      </c>
      <c r="I745" s="105">
        <v>44817</v>
      </c>
      <c r="J745" s="85">
        <v>41916.379999999997</v>
      </c>
      <c r="K745" s="85">
        <v>42092.72</v>
      </c>
      <c r="L745" s="85">
        <v>41885.279999999999</v>
      </c>
      <c r="M745" s="85">
        <v>42001.34</v>
      </c>
      <c r="N745" s="123">
        <v>62483435</v>
      </c>
      <c r="O745" s="112">
        <f t="shared" si="23"/>
        <v>3.321605196466626E-3</v>
      </c>
    </row>
    <row r="746" spans="1:15">
      <c r="A746" s="105">
        <v>44816</v>
      </c>
      <c r="B746" s="85">
        <v>87.5</v>
      </c>
      <c r="C746" s="85">
        <v>89</v>
      </c>
      <c r="D746" s="85">
        <v>87.02</v>
      </c>
      <c r="E746" s="85">
        <v>87.14</v>
      </c>
      <c r="F746" s="85">
        <v>312556</v>
      </c>
      <c r="G746" s="112">
        <f t="shared" si="22"/>
        <v>-4.4556152176397079E-3</v>
      </c>
      <c r="I746" s="105">
        <v>44816</v>
      </c>
      <c r="J746" s="85">
        <v>42007.519999999997</v>
      </c>
      <c r="K746" s="85">
        <v>42137.8</v>
      </c>
      <c r="L746" s="85">
        <v>41812.089999999997</v>
      </c>
      <c r="M746" s="85">
        <v>41862.29</v>
      </c>
      <c r="N746" s="123">
        <v>66430462</v>
      </c>
      <c r="O746" s="112">
        <f t="shared" si="23"/>
        <v>-2.0470504546564738E-3</v>
      </c>
    </row>
    <row r="747" spans="1:15">
      <c r="A747" s="105">
        <v>44813</v>
      </c>
      <c r="B747" s="85">
        <v>88.18</v>
      </c>
      <c r="C747" s="85">
        <v>88.18</v>
      </c>
      <c r="D747" s="85">
        <v>87.1</v>
      </c>
      <c r="E747" s="85">
        <v>87.53</v>
      </c>
      <c r="F747" s="85">
        <v>77062</v>
      </c>
      <c r="G747" s="112">
        <f t="shared" si="22"/>
        <v>-2.2844089091944575E-4</v>
      </c>
      <c r="I747" s="105">
        <v>44813</v>
      </c>
      <c r="J747" s="85">
        <v>41825.08</v>
      </c>
      <c r="K747" s="85">
        <v>42099.54</v>
      </c>
      <c r="L747" s="85">
        <v>41815.49</v>
      </c>
      <c r="M747" s="85">
        <v>41948.160000000003</v>
      </c>
      <c r="N747" s="123">
        <v>96439065</v>
      </c>
      <c r="O747" s="112">
        <f t="shared" si="23"/>
        <v>2.9496860593920537E-3</v>
      </c>
    </row>
    <row r="748" spans="1:15">
      <c r="A748" s="105">
        <v>44812</v>
      </c>
      <c r="B748" s="85">
        <v>88.74</v>
      </c>
      <c r="C748" s="85">
        <v>88.74</v>
      </c>
      <c r="D748" s="85">
        <v>87.15</v>
      </c>
      <c r="E748" s="85">
        <v>87.55</v>
      </c>
      <c r="F748" s="85">
        <v>142679</v>
      </c>
      <c r="G748" s="112">
        <f t="shared" si="22"/>
        <v>-4.887474426006011E-3</v>
      </c>
      <c r="I748" s="105">
        <v>44812</v>
      </c>
      <c r="J748" s="85">
        <v>41824.85</v>
      </c>
      <c r="K748" s="85">
        <v>41939.449999999997</v>
      </c>
      <c r="L748" s="85">
        <v>41676.9</v>
      </c>
      <c r="M748" s="85">
        <v>41824.79</v>
      </c>
      <c r="N748" s="123">
        <v>63305539</v>
      </c>
      <c r="O748" s="112">
        <f t="shared" si="23"/>
        <v>1.4064054417404215E-3</v>
      </c>
    </row>
    <row r="749" spans="1:15">
      <c r="A749" s="105">
        <v>44811</v>
      </c>
      <c r="B749" s="85">
        <v>89</v>
      </c>
      <c r="C749" s="85">
        <v>89</v>
      </c>
      <c r="D749" s="85">
        <v>87.1</v>
      </c>
      <c r="E749" s="85">
        <v>87.98</v>
      </c>
      <c r="F749" s="85">
        <v>298849</v>
      </c>
      <c r="G749" s="112">
        <f t="shared" si="22"/>
        <v>-5.313736574335759E-3</v>
      </c>
      <c r="I749" s="105">
        <v>44811</v>
      </c>
      <c r="J749" s="85">
        <v>41910.839999999997</v>
      </c>
      <c r="K749" s="85">
        <v>42064.94</v>
      </c>
      <c r="L749" s="85">
        <v>41703.949999999997</v>
      </c>
      <c r="M749" s="85">
        <v>41766.050000000003</v>
      </c>
      <c r="N749" s="123">
        <v>45956201</v>
      </c>
      <c r="O749" s="112">
        <f t="shared" si="23"/>
        <v>-2.2529667685609045E-3</v>
      </c>
    </row>
    <row r="750" spans="1:15">
      <c r="A750" s="105">
        <v>44810</v>
      </c>
      <c r="B750" s="85">
        <v>89.35</v>
      </c>
      <c r="C750" s="85">
        <v>89.35</v>
      </c>
      <c r="D750" s="85">
        <v>87.8</v>
      </c>
      <c r="E750" s="85">
        <v>88.45</v>
      </c>
      <c r="F750" s="85">
        <v>118957</v>
      </c>
      <c r="G750" s="112">
        <f t="shared" si="22"/>
        <v>-5.6497175141234646E-4</v>
      </c>
      <c r="I750" s="105">
        <v>44810</v>
      </c>
      <c r="J750" s="85">
        <v>41834.379999999997</v>
      </c>
      <c r="K750" s="85">
        <v>41927.050000000003</v>
      </c>
      <c r="L750" s="85">
        <v>41682.629999999997</v>
      </c>
      <c r="M750" s="85">
        <v>41860.36</v>
      </c>
      <c r="N750" s="123">
        <v>52481043</v>
      </c>
      <c r="O750" s="112">
        <f t="shared" si="23"/>
        <v>2.5322927043713861E-5</v>
      </c>
    </row>
    <row r="751" spans="1:15">
      <c r="A751" s="105">
        <v>44809</v>
      </c>
      <c r="B751" s="85">
        <v>91</v>
      </c>
      <c r="C751" s="85">
        <v>91</v>
      </c>
      <c r="D751" s="85">
        <v>88</v>
      </c>
      <c r="E751" s="85">
        <v>88.5</v>
      </c>
      <c r="F751" s="85">
        <v>274439</v>
      </c>
      <c r="G751" s="112">
        <f t="shared" si="22"/>
        <v>-1.5244241682430215E-2</v>
      </c>
      <c r="I751" s="105">
        <v>44809</v>
      </c>
      <c r="J751" s="85">
        <v>42336.67</v>
      </c>
      <c r="K751" s="85">
        <v>42388.34</v>
      </c>
      <c r="L751" s="85">
        <v>41857.980000000003</v>
      </c>
      <c r="M751" s="85">
        <v>41859.300000000003</v>
      </c>
      <c r="N751" s="123">
        <v>63935724</v>
      </c>
      <c r="O751" s="112">
        <f t="shared" si="23"/>
        <v>-1.0631516474820635E-2</v>
      </c>
    </row>
    <row r="752" spans="1:15">
      <c r="A752" s="105">
        <v>44806</v>
      </c>
      <c r="B752" s="85">
        <v>90.95</v>
      </c>
      <c r="C752" s="85">
        <v>90.95</v>
      </c>
      <c r="D752" s="85">
        <v>88.06</v>
      </c>
      <c r="E752" s="85">
        <v>89.87</v>
      </c>
      <c r="F752" s="85">
        <v>170854</v>
      </c>
      <c r="G752" s="112">
        <f t="shared" si="22"/>
        <v>-4.2105263157894424E-3</v>
      </c>
      <c r="I752" s="105">
        <v>44806</v>
      </c>
      <c r="J752" s="85">
        <v>42523.79</v>
      </c>
      <c r="K752" s="85">
        <v>42569.52</v>
      </c>
      <c r="L752" s="85">
        <v>42235.88</v>
      </c>
      <c r="M752" s="85">
        <v>42309.11</v>
      </c>
      <c r="N752" s="123">
        <v>82112896</v>
      </c>
      <c r="O752" s="112">
        <f t="shared" si="23"/>
        <v>-3.5555750248233986E-3</v>
      </c>
    </row>
    <row r="753" spans="1:15">
      <c r="A753" s="105">
        <v>44805</v>
      </c>
      <c r="B753" s="85">
        <v>91.18</v>
      </c>
      <c r="C753" s="85">
        <v>91.18</v>
      </c>
      <c r="D753" s="85">
        <v>89.75</v>
      </c>
      <c r="E753" s="85">
        <v>90.25</v>
      </c>
      <c r="F753" s="85">
        <v>258339</v>
      </c>
      <c r="G753" s="112">
        <f t="shared" si="22"/>
        <v>-4.522391352305255E-3</v>
      </c>
      <c r="I753" s="105">
        <v>44805</v>
      </c>
      <c r="J753" s="85">
        <v>42490.48</v>
      </c>
      <c r="K753" s="85">
        <v>42667.53</v>
      </c>
      <c r="L753" s="85">
        <v>42375.5</v>
      </c>
      <c r="M753" s="85">
        <v>42460.08</v>
      </c>
      <c r="N753" s="123">
        <v>153353787</v>
      </c>
      <c r="O753" s="112">
        <f t="shared" si="23"/>
        <v>2.5720671103381942E-3</v>
      </c>
    </row>
    <row r="754" spans="1:15">
      <c r="A754" s="105">
        <v>44804</v>
      </c>
      <c r="B754" s="85">
        <v>91.99</v>
      </c>
      <c r="C754" s="85">
        <v>91.99</v>
      </c>
      <c r="D754" s="85">
        <v>89.27</v>
      </c>
      <c r="E754" s="85">
        <v>90.66</v>
      </c>
      <c r="F754" s="85">
        <v>680614</v>
      </c>
      <c r="G754" s="112">
        <f t="shared" si="22"/>
        <v>-2.6402640264027166E-3</v>
      </c>
      <c r="I754" s="105">
        <v>44804</v>
      </c>
      <c r="J754" s="85">
        <v>42200.68</v>
      </c>
      <c r="K754" s="85">
        <v>42472.45</v>
      </c>
      <c r="L754" s="85">
        <v>42073.87</v>
      </c>
      <c r="M754" s="85">
        <v>42351.15</v>
      </c>
      <c r="N754" s="123">
        <v>120330671</v>
      </c>
      <c r="O754" s="112">
        <f t="shared" si="23"/>
        <v>3.6947286720661054E-3</v>
      </c>
    </row>
    <row r="755" spans="1:15">
      <c r="A755" s="105">
        <v>44803</v>
      </c>
      <c r="B755" s="85">
        <v>93.11</v>
      </c>
      <c r="C755" s="85">
        <v>94.87</v>
      </c>
      <c r="D755" s="85">
        <v>90.41</v>
      </c>
      <c r="E755" s="85">
        <v>90.9</v>
      </c>
      <c r="F755" s="85">
        <v>664612</v>
      </c>
      <c r="G755" s="112">
        <f t="shared" si="22"/>
        <v>-1.6659454781479788E-2</v>
      </c>
      <c r="I755" s="105">
        <v>44803</v>
      </c>
      <c r="J755" s="85">
        <v>43016.52</v>
      </c>
      <c r="K755" s="85">
        <v>43052.27</v>
      </c>
      <c r="L755" s="85">
        <v>42103.76</v>
      </c>
      <c r="M755" s="85">
        <v>42195.25</v>
      </c>
      <c r="N755" s="123">
        <v>140217890</v>
      </c>
      <c r="O755" s="112">
        <f t="shared" si="23"/>
        <v>-7.2719632865725359E-3</v>
      </c>
    </row>
    <row r="756" spans="1:15">
      <c r="A756" s="105">
        <v>44802</v>
      </c>
      <c r="B756" s="85">
        <v>94.5</v>
      </c>
      <c r="C756" s="85">
        <v>94.5</v>
      </c>
      <c r="D756" s="85">
        <v>90.03</v>
      </c>
      <c r="E756" s="85">
        <v>92.44</v>
      </c>
      <c r="F756" s="85">
        <v>411039</v>
      </c>
      <c r="G756" s="112">
        <f t="shared" si="22"/>
        <v>-1.4288760929835775E-2</v>
      </c>
      <c r="I756" s="105">
        <v>44802</v>
      </c>
      <c r="J756" s="85">
        <v>42583.360000000001</v>
      </c>
      <c r="K756" s="85">
        <v>42591.51</v>
      </c>
      <c r="L756" s="85">
        <v>41822.26</v>
      </c>
      <c r="M756" s="85">
        <v>42504.34</v>
      </c>
      <c r="N756" s="123">
        <v>112001357</v>
      </c>
      <c r="O756" s="112">
        <f t="shared" si="23"/>
        <v>-2.0466520205554284E-3</v>
      </c>
    </row>
    <row r="757" spans="1:15">
      <c r="A757" s="105">
        <v>44799</v>
      </c>
      <c r="B757" s="85">
        <v>95.06</v>
      </c>
      <c r="C757" s="85">
        <v>96.2</v>
      </c>
      <c r="D757" s="85">
        <v>93.39</v>
      </c>
      <c r="E757" s="85">
        <v>93.78</v>
      </c>
      <c r="F757" s="85">
        <v>504502</v>
      </c>
      <c r="G757" s="112">
        <f t="shared" si="22"/>
        <v>-1.5846363731766289E-2</v>
      </c>
      <c r="I757" s="105">
        <v>44799</v>
      </c>
      <c r="J757" s="85">
        <v>43046.41</v>
      </c>
      <c r="K757" s="85">
        <v>43201.43</v>
      </c>
      <c r="L757" s="85">
        <v>42546.48</v>
      </c>
      <c r="M757" s="85">
        <v>42591.51</v>
      </c>
      <c r="N757" s="123">
        <v>160263823</v>
      </c>
      <c r="O757" s="112">
        <f t="shared" si="23"/>
        <v>-1.0249445942921764E-2</v>
      </c>
    </row>
    <row r="758" spans="1:15">
      <c r="A758" s="105">
        <v>44798</v>
      </c>
      <c r="B758" s="85">
        <v>94.25</v>
      </c>
      <c r="C758" s="85">
        <v>95.68</v>
      </c>
      <c r="D758" s="85">
        <v>94.25</v>
      </c>
      <c r="E758" s="85">
        <v>95.29</v>
      </c>
      <c r="F758" s="85">
        <v>725249</v>
      </c>
      <c r="G758" s="112">
        <f t="shared" si="22"/>
        <v>1.3615572811403132E-2</v>
      </c>
      <c r="I758" s="105">
        <v>44798</v>
      </c>
      <c r="J758" s="85">
        <v>43353.54</v>
      </c>
      <c r="K758" s="85">
        <v>43458.91</v>
      </c>
      <c r="L758" s="85">
        <v>42961.1</v>
      </c>
      <c r="M758" s="85">
        <v>43032.57</v>
      </c>
      <c r="N758" s="123">
        <v>92581219</v>
      </c>
      <c r="O758" s="112">
        <f t="shared" si="23"/>
        <v>-7.0469382852957896E-3</v>
      </c>
    </row>
    <row r="759" spans="1:15">
      <c r="A759" s="105">
        <v>44797</v>
      </c>
      <c r="B759" s="85">
        <v>95.45</v>
      </c>
      <c r="C759" s="85">
        <v>96</v>
      </c>
      <c r="D759" s="85">
        <v>93.66</v>
      </c>
      <c r="E759" s="85">
        <v>94.01</v>
      </c>
      <c r="F759" s="85">
        <v>1771932</v>
      </c>
      <c r="G759" s="112">
        <f t="shared" si="22"/>
        <v>-5.9215396002959553E-3</v>
      </c>
      <c r="I759" s="105">
        <v>44797</v>
      </c>
      <c r="J759" s="85">
        <v>43439.67</v>
      </c>
      <c r="K759" s="85">
        <v>43685</v>
      </c>
      <c r="L759" s="85">
        <v>43299.48</v>
      </c>
      <c r="M759" s="85">
        <v>43337.97</v>
      </c>
      <c r="N759" s="123">
        <v>116045785</v>
      </c>
      <c r="O759" s="112">
        <f t="shared" si="23"/>
        <v>-6.6410295256014162E-4</v>
      </c>
    </row>
    <row r="760" spans="1:15">
      <c r="A760" s="105">
        <v>44796</v>
      </c>
      <c r="B760" s="85">
        <v>93.01</v>
      </c>
      <c r="C760" s="85">
        <v>98</v>
      </c>
      <c r="D760" s="85">
        <v>93.01</v>
      </c>
      <c r="E760" s="85">
        <v>94.57</v>
      </c>
      <c r="F760" s="85">
        <v>1247637</v>
      </c>
      <c r="G760" s="112">
        <f t="shared" si="22"/>
        <v>-1.689010873007657E-3</v>
      </c>
      <c r="I760" s="105">
        <v>44796</v>
      </c>
      <c r="J760" s="85">
        <v>42978.63</v>
      </c>
      <c r="K760" s="85">
        <v>43419.59</v>
      </c>
      <c r="L760" s="85">
        <v>42978.63</v>
      </c>
      <c r="M760" s="85">
        <v>43366.77</v>
      </c>
      <c r="N760" s="123">
        <v>138121459</v>
      </c>
      <c r="O760" s="112">
        <f t="shared" si="23"/>
        <v>1.2611536832430881E-2</v>
      </c>
    </row>
    <row r="761" spans="1:15">
      <c r="A761" s="105">
        <v>44795</v>
      </c>
      <c r="B761" s="85">
        <v>97.49</v>
      </c>
      <c r="C761" s="85">
        <v>98.5</v>
      </c>
      <c r="D761" s="85">
        <v>94.45</v>
      </c>
      <c r="E761" s="85">
        <v>94.73</v>
      </c>
      <c r="F761" s="85">
        <v>811424</v>
      </c>
      <c r="G761" s="112">
        <f t="shared" si="22"/>
        <v>-1.7017744111237909E-2</v>
      </c>
      <c r="I761" s="105">
        <v>44795</v>
      </c>
      <c r="J761" s="85">
        <v>43256.81</v>
      </c>
      <c r="K761" s="85">
        <v>43317.91</v>
      </c>
      <c r="L761" s="85">
        <v>42787.14</v>
      </c>
      <c r="M761" s="85">
        <v>42826.66</v>
      </c>
      <c r="N761" s="123">
        <v>90622217</v>
      </c>
      <c r="O761" s="112">
        <f t="shared" si="23"/>
        <v>-1.0260765669108274E-2</v>
      </c>
    </row>
    <row r="762" spans="1:15">
      <c r="A762" s="105">
        <v>44792</v>
      </c>
      <c r="B762" s="85">
        <v>97.99</v>
      </c>
      <c r="C762" s="85">
        <v>97.99</v>
      </c>
      <c r="D762" s="85">
        <v>94.1</v>
      </c>
      <c r="E762" s="85">
        <v>96.37</v>
      </c>
      <c r="F762" s="85">
        <v>506768</v>
      </c>
      <c r="G762" s="112">
        <f t="shared" si="22"/>
        <v>-2.484214884587499E-3</v>
      </c>
      <c r="I762" s="105">
        <v>44792</v>
      </c>
      <c r="J762" s="85">
        <v>43455.87</v>
      </c>
      <c r="K762" s="85">
        <v>43533.120000000003</v>
      </c>
      <c r="L762" s="85">
        <v>43230.03</v>
      </c>
      <c r="M762" s="85">
        <v>43270.65</v>
      </c>
      <c r="N762" s="123">
        <v>113547578</v>
      </c>
      <c r="O762" s="112">
        <f t="shared" si="23"/>
        <v>-4.8491887354391583E-3</v>
      </c>
    </row>
    <row r="763" spans="1:15">
      <c r="A763" s="105">
        <v>44791</v>
      </c>
      <c r="B763" s="85">
        <v>97.89</v>
      </c>
      <c r="C763" s="85">
        <v>98.49</v>
      </c>
      <c r="D763" s="85">
        <v>96.5</v>
      </c>
      <c r="E763" s="85">
        <v>96.61</v>
      </c>
      <c r="F763" s="85">
        <v>292307</v>
      </c>
      <c r="G763" s="112">
        <f t="shared" si="22"/>
        <v>2.07447360232349E-3</v>
      </c>
      <c r="I763" s="105">
        <v>44791</v>
      </c>
      <c r="J763" s="85">
        <v>43735.74</v>
      </c>
      <c r="K763" s="85">
        <v>43879.23</v>
      </c>
      <c r="L763" s="85">
        <v>43390.33</v>
      </c>
      <c r="M763" s="85">
        <v>43481.5</v>
      </c>
      <c r="N763" s="123">
        <v>220969938</v>
      </c>
      <c r="O763" s="112">
        <f t="shared" si="23"/>
        <v>-4.4660110594789693E-3</v>
      </c>
    </row>
    <row r="764" spans="1:15">
      <c r="A764" s="105">
        <v>44790</v>
      </c>
      <c r="B764" s="85">
        <v>96</v>
      </c>
      <c r="C764" s="85">
        <v>101.4</v>
      </c>
      <c r="D764" s="85">
        <v>95.8</v>
      </c>
      <c r="E764" s="85">
        <v>96.41</v>
      </c>
      <c r="F764" s="85">
        <v>1225443</v>
      </c>
      <c r="G764" s="112">
        <f t="shared" si="22"/>
        <v>-5.5698813821558613E-3</v>
      </c>
      <c r="I764" s="105">
        <v>44790</v>
      </c>
      <c r="J764" s="85">
        <v>43486.48</v>
      </c>
      <c r="K764" s="85">
        <v>43734.33</v>
      </c>
      <c r="L764" s="85">
        <v>43384.34</v>
      </c>
      <c r="M764" s="85">
        <v>43676.56</v>
      </c>
      <c r="N764" s="123">
        <v>345763780</v>
      </c>
      <c r="O764" s="112">
        <f t="shared" si="23"/>
        <v>5.5271513713817111E-3</v>
      </c>
    </row>
    <row r="765" spans="1:15">
      <c r="A765" s="105">
        <v>44789</v>
      </c>
      <c r="B765" s="85">
        <v>95.5</v>
      </c>
      <c r="C765" s="85">
        <v>99.8</v>
      </c>
      <c r="D765" s="85">
        <v>94</v>
      </c>
      <c r="E765" s="85">
        <v>96.95</v>
      </c>
      <c r="F765" s="85">
        <v>1572294</v>
      </c>
      <c r="G765" s="112">
        <f t="shared" si="22"/>
        <v>1.6780283167278531E-2</v>
      </c>
      <c r="I765" s="105">
        <v>44789</v>
      </c>
      <c r="J765" s="85">
        <v>43741.42</v>
      </c>
      <c r="K765" s="85">
        <v>43887.62</v>
      </c>
      <c r="L765" s="85">
        <v>43375.03</v>
      </c>
      <c r="M765" s="85">
        <v>43436.480000000003</v>
      </c>
      <c r="N765" s="123">
        <v>225420807</v>
      </c>
      <c r="O765" s="112">
        <f t="shared" si="23"/>
        <v>-4.24879108666254E-3</v>
      </c>
    </row>
    <row r="766" spans="1:15">
      <c r="A766" s="105">
        <v>44788</v>
      </c>
      <c r="B766" s="85">
        <v>91</v>
      </c>
      <c r="C766" s="85">
        <v>97.74</v>
      </c>
      <c r="D766" s="85">
        <v>91</v>
      </c>
      <c r="E766" s="85">
        <v>95.35</v>
      </c>
      <c r="F766" s="85">
        <v>1772521</v>
      </c>
      <c r="G766" s="112">
        <f t="shared" si="22"/>
        <v>4.8608819971406536E-2</v>
      </c>
      <c r="I766" s="105">
        <v>44788</v>
      </c>
      <c r="J766" s="85">
        <v>43050.87</v>
      </c>
      <c r="K766" s="85">
        <v>43659.040000000001</v>
      </c>
      <c r="L766" s="85">
        <v>43050.87</v>
      </c>
      <c r="M766" s="85">
        <v>43621.82</v>
      </c>
      <c r="N766" s="123">
        <v>261916640</v>
      </c>
      <c r="O766" s="112">
        <f t="shared" si="23"/>
        <v>1.7832322271188028E-2</v>
      </c>
    </row>
    <row r="767" spans="1:15">
      <c r="A767" s="105">
        <v>44785</v>
      </c>
      <c r="B767" s="85">
        <v>88.98</v>
      </c>
      <c r="C767" s="85">
        <v>91.17</v>
      </c>
      <c r="D767" s="85">
        <v>86.4</v>
      </c>
      <c r="E767" s="85">
        <v>90.93</v>
      </c>
      <c r="F767" s="85">
        <v>580206</v>
      </c>
      <c r="G767" s="112">
        <f t="shared" si="22"/>
        <v>3.2239754796231201E-2</v>
      </c>
      <c r="I767" s="105">
        <v>44785</v>
      </c>
      <c r="J767" s="85">
        <v>42324.59</v>
      </c>
      <c r="K767" s="85">
        <v>42874.22</v>
      </c>
      <c r="L767" s="85">
        <v>42288.72</v>
      </c>
      <c r="M767" s="85">
        <v>42857.57</v>
      </c>
      <c r="N767" s="123">
        <v>180984985</v>
      </c>
      <c r="O767" s="112">
        <f t="shared" si="23"/>
        <v>1.4540520361439269E-2</v>
      </c>
    </row>
    <row r="768" spans="1:15">
      <c r="A768" s="105">
        <v>44784</v>
      </c>
      <c r="B768" s="85">
        <v>92.88</v>
      </c>
      <c r="C768" s="85">
        <v>92.88</v>
      </c>
      <c r="D768" s="85">
        <v>87.8</v>
      </c>
      <c r="E768" s="85">
        <v>88.09</v>
      </c>
      <c r="F768" s="85">
        <v>505366</v>
      </c>
      <c r="G768" s="112">
        <f t="shared" si="22"/>
        <v>-3.5053127396209915E-2</v>
      </c>
      <c r="I768" s="105">
        <v>44784</v>
      </c>
      <c r="J768" s="85">
        <v>42560.81</v>
      </c>
      <c r="K768" s="85">
        <v>42678.94</v>
      </c>
      <c r="L768" s="85">
        <v>42214.63</v>
      </c>
      <c r="M768" s="85">
        <v>42243.33</v>
      </c>
      <c r="N768" s="123">
        <v>128322729</v>
      </c>
      <c r="O768" s="112">
        <f t="shared" si="23"/>
        <v>-5.9188348705783156E-3</v>
      </c>
    </row>
    <row r="769" spans="1:15">
      <c r="A769" s="105">
        <v>44783</v>
      </c>
      <c r="B769" s="85">
        <v>89</v>
      </c>
      <c r="C769" s="85">
        <v>92.89</v>
      </c>
      <c r="D769" s="85">
        <v>89</v>
      </c>
      <c r="E769" s="85">
        <v>91.29</v>
      </c>
      <c r="F769" s="85">
        <v>1378718</v>
      </c>
      <c r="G769" s="112">
        <f t="shared" si="22"/>
        <v>2.9431664411366798E-2</v>
      </c>
      <c r="I769" s="105">
        <v>44783</v>
      </c>
      <c r="J769" s="85">
        <v>42313.279999999999</v>
      </c>
      <c r="K769" s="85">
        <v>42779.47</v>
      </c>
      <c r="L769" s="85">
        <v>42219.61</v>
      </c>
      <c r="M769" s="85">
        <v>42494.85</v>
      </c>
      <c r="N769" s="123">
        <v>196163157</v>
      </c>
      <c r="O769" s="112">
        <f t="shared" si="23"/>
        <v>9.4690167102811085E-3</v>
      </c>
    </row>
    <row r="770" spans="1:15">
      <c r="A770" s="105">
        <v>44778</v>
      </c>
      <c r="B770" s="85">
        <v>88.39</v>
      </c>
      <c r="C770" s="85">
        <v>89.95</v>
      </c>
      <c r="D770" s="85">
        <v>86</v>
      </c>
      <c r="E770" s="85">
        <v>88.68</v>
      </c>
      <c r="F770" s="85">
        <v>1594932</v>
      </c>
      <c r="G770" s="112">
        <f t="shared" si="22"/>
        <v>2.5083805340422982E-2</v>
      </c>
      <c r="I770" s="105">
        <v>44778</v>
      </c>
      <c r="J770" s="85">
        <v>41511.82</v>
      </c>
      <c r="K770" s="85">
        <v>42168.08</v>
      </c>
      <c r="L770" s="85">
        <v>41453.78</v>
      </c>
      <c r="M770" s="85">
        <v>42096.24</v>
      </c>
      <c r="N770" s="123">
        <v>198134379</v>
      </c>
      <c r="O770" s="112">
        <f t="shared" si="23"/>
        <v>1.6194665249821494E-2</v>
      </c>
    </row>
    <row r="771" spans="1:15">
      <c r="A771" s="105">
        <v>44777</v>
      </c>
      <c r="B771" s="85">
        <v>86.9</v>
      </c>
      <c r="C771" s="85">
        <v>87.49</v>
      </c>
      <c r="D771" s="85">
        <v>85.01</v>
      </c>
      <c r="E771" s="85">
        <v>86.51</v>
      </c>
      <c r="F771" s="85">
        <v>438995</v>
      </c>
      <c r="G771" s="112">
        <f t="shared" si="22"/>
        <v>0</v>
      </c>
      <c r="I771" s="105">
        <v>44777</v>
      </c>
      <c r="J771" s="85">
        <v>41170.35</v>
      </c>
      <c r="K771" s="85">
        <v>41630.629999999997</v>
      </c>
      <c r="L771" s="85">
        <v>41170.35</v>
      </c>
      <c r="M771" s="85">
        <v>41425.370000000003</v>
      </c>
      <c r="N771" s="123">
        <v>114511701</v>
      </c>
      <c r="O771" s="112">
        <f t="shared" si="23"/>
        <v>8.6805407599479523E-3</v>
      </c>
    </row>
    <row r="772" spans="1:15">
      <c r="A772" s="105">
        <v>44776</v>
      </c>
      <c r="B772" s="85">
        <v>85.6</v>
      </c>
      <c r="C772" s="85">
        <v>87.95</v>
      </c>
      <c r="D772" s="85">
        <v>84.21</v>
      </c>
      <c r="E772" s="85">
        <v>86.51</v>
      </c>
      <c r="F772" s="85">
        <v>1646552</v>
      </c>
      <c r="G772" s="112">
        <f t="shared" ref="G772:G835" si="24">E772/E773-1</f>
        <v>1.7166372721928447E-2</v>
      </c>
      <c r="I772" s="105">
        <v>44776</v>
      </c>
      <c r="J772" s="85">
        <v>40275.199999999997</v>
      </c>
      <c r="K772" s="85">
        <v>41208.089999999997</v>
      </c>
      <c r="L772" s="85">
        <v>40275.199999999997</v>
      </c>
      <c r="M772" s="85">
        <v>41068.870000000003</v>
      </c>
      <c r="N772" s="123">
        <v>145830327</v>
      </c>
      <c r="O772" s="112">
        <f t="shared" ref="O772:O835" si="25">M772/M773-1</f>
        <v>2.1826943483975958E-2</v>
      </c>
    </row>
    <row r="773" spans="1:15">
      <c r="A773" s="105">
        <v>44775</v>
      </c>
      <c r="B773" s="85">
        <v>86</v>
      </c>
      <c r="C773" s="85">
        <v>86</v>
      </c>
      <c r="D773" s="85">
        <v>84.9</v>
      </c>
      <c r="E773" s="85">
        <v>85.05</v>
      </c>
      <c r="F773" s="85">
        <v>710610</v>
      </c>
      <c r="G773" s="112">
        <f t="shared" si="24"/>
        <v>-1.0701407467721302E-2</v>
      </c>
      <c r="I773" s="105">
        <v>44775</v>
      </c>
      <c r="J773" s="85">
        <v>40025.269999999997</v>
      </c>
      <c r="K773" s="85">
        <v>40460.879999999997</v>
      </c>
      <c r="L773" s="85">
        <v>39756.080000000002</v>
      </c>
      <c r="M773" s="85">
        <v>40191.61</v>
      </c>
      <c r="N773" s="123">
        <v>79376756</v>
      </c>
      <c r="O773" s="112">
        <f t="shared" si="25"/>
        <v>2.8857699229163369E-3</v>
      </c>
    </row>
    <row r="774" spans="1:15">
      <c r="A774" s="105">
        <v>44774</v>
      </c>
      <c r="B774" s="85">
        <v>88.95</v>
      </c>
      <c r="C774" s="85">
        <v>88.95</v>
      </c>
      <c r="D774" s="85">
        <v>83.36</v>
      </c>
      <c r="E774" s="85">
        <v>85.97</v>
      </c>
      <c r="F774" s="85">
        <v>734281</v>
      </c>
      <c r="G774" s="112">
        <f t="shared" si="24"/>
        <v>-3.2463768115942315E-3</v>
      </c>
      <c r="I774" s="105">
        <v>44774</v>
      </c>
      <c r="J774" s="85">
        <v>40122.79</v>
      </c>
      <c r="K774" s="85">
        <v>40380.639999999999</v>
      </c>
      <c r="L774" s="85">
        <v>40069.269999999997</v>
      </c>
      <c r="M774" s="85">
        <v>40075.96</v>
      </c>
      <c r="N774" s="123">
        <v>46740818</v>
      </c>
      <c r="O774" s="112">
        <f t="shared" si="25"/>
        <v>-1.853034443526802E-3</v>
      </c>
    </row>
    <row r="775" spans="1:15">
      <c r="A775" s="105">
        <v>44771</v>
      </c>
      <c r="B775" s="85">
        <v>86.9</v>
      </c>
      <c r="C775" s="85">
        <v>86.9</v>
      </c>
      <c r="D775" s="85">
        <v>85</v>
      </c>
      <c r="E775" s="85">
        <v>86.25</v>
      </c>
      <c r="F775" s="85">
        <v>628902</v>
      </c>
      <c r="G775" s="112">
        <f t="shared" si="24"/>
        <v>-2.3134759976866093E-3</v>
      </c>
      <c r="I775" s="105">
        <v>44771</v>
      </c>
      <c r="J775" s="85">
        <v>40203.279999999999</v>
      </c>
      <c r="K775" s="85">
        <v>40421.24</v>
      </c>
      <c r="L775" s="85">
        <v>40026.86</v>
      </c>
      <c r="M775" s="85">
        <v>40150.36</v>
      </c>
      <c r="N775" s="123">
        <v>93013884</v>
      </c>
      <c r="O775" s="112">
        <f t="shared" si="25"/>
        <v>-3.1353161534825036E-3</v>
      </c>
    </row>
    <row r="776" spans="1:15">
      <c r="A776" s="105">
        <v>44770</v>
      </c>
      <c r="B776" s="85">
        <v>84.62</v>
      </c>
      <c r="C776" s="85">
        <v>86.9</v>
      </c>
      <c r="D776" s="85">
        <v>84.05</v>
      </c>
      <c r="E776" s="85">
        <v>86.45</v>
      </c>
      <c r="F776" s="85">
        <v>2531280</v>
      </c>
      <c r="G776" s="112">
        <f t="shared" si="24"/>
        <v>2.3803884414969279E-2</v>
      </c>
      <c r="I776" s="105">
        <v>44770</v>
      </c>
      <c r="J776" s="85">
        <v>40036.050000000003</v>
      </c>
      <c r="K776" s="85">
        <v>40628.67</v>
      </c>
      <c r="L776" s="85">
        <v>40000.54</v>
      </c>
      <c r="M776" s="85">
        <v>40276.639999999999</v>
      </c>
      <c r="N776" s="123">
        <v>119042770</v>
      </c>
      <c r="O776" s="112">
        <f t="shared" si="25"/>
        <v>7.605201958139407E-3</v>
      </c>
    </row>
    <row r="777" spans="1:15">
      <c r="A777" s="105">
        <v>44769</v>
      </c>
      <c r="B777" s="85">
        <v>86.99</v>
      </c>
      <c r="C777" s="85">
        <v>86.99</v>
      </c>
      <c r="D777" s="85">
        <v>82.99</v>
      </c>
      <c r="E777" s="85">
        <v>84.44</v>
      </c>
      <c r="F777" s="85">
        <v>1366469</v>
      </c>
      <c r="G777" s="112">
        <f t="shared" si="24"/>
        <v>6.1963775023832213E-3</v>
      </c>
      <c r="I777" s="105">
        <v>44769</v>
      </c>
      <c r="J777" s="85">
        <v>40048.959999999999</v>
      </c>
      <c r="K777" s="85">
        <v>40098.82</v>
      </c>
      <c r="L777" s="85">
        <v>39605.1</v>
      </c>
      <c r="M777" s="85">
        <v>39972.639999999999</v>
      </c>
      <c r="N777" s="123">
        <v>65973784</v>
      </c>
      <c r="O777" s="112">
        <f t="shared" si="25"/>
        <v>1.9699679526143932E-3</v>
      </c>
    </row>
    <row r="778" spans="1:15">
      <c r="A778" s="105">
        <v>44768</v>
      </c>
      <c r="B778" s="85">
        <v>83.6</v>
      </c>
      <c r="C778" s="85">
        <v>84.48</v>
      </c>
      <c r="D778" s="85">
        <v>81.099999999999994</v>
      </c>
      <c r="E778" s="85">
        <v>83.92</v>
      </c>
      <c r="F778" s="85">
        <v>311482</v>
      </c>
      <c r="G778" s="112">
        <f t="shared" si="24"/>
        <v>4.1881057795860599E-3</v>
      </c>
      <c r="I778" s="105">
        <v>44768</v>
      </c>
      <c r="J778" s="85">
        <v>39889.72</v>
      </c>
      <c r="K778" s="85">
        <v>40135.64</v>
      </c>
      <c r="L778" s="85">
        <v>39706.559999999998</v>
      </c>
      <c r="M778" s="85">
        <v>39894.050000000003</v>
      </c>
      <c r="N778" s="123">
        <v>69037783</v>
      </c>
      <c r="O778" s="112">
        <f t="shared" si="25"/>
        <v>1.2556463931101547E-3</v>
      </c>
    </row>
    <row r="779" spans="1:15">
      <c r="A779" s="105">
        <v>44767</v>
      </c>
      <c r="B779" s="85">
        <v>85.45</v>
      </c>
      <c r="C779" s="85">
        <v>85.45</v>
      </c>
      <c r="D779" s="85">
        <v>83.5</v>
      </c>
      <c r="E779" s="85">
        <v>83.57</v>
      </c>
      <c r="F779" s="85">
        <v>94226</v>
      </c>
      <c r="G779" s="112">
        <f t="shared" si="24"/>
        <v>-1.2641776937618254E-2</v>
      </c>
      <c r="I779" s="105">
        <v>44767</v>
      </c>
      <c r="J779" s="85">
        <v>40074.080000000002</v>
      </c>
      <c r="K779" s="85">
        <v>40074.080000000002</v>
      </c>
      <c r="L779" s="85">
        <v>39720.800000000003</v>
      </c>
      <c r="M779" s="85">
        <v>39844.019999999997</v>
      </c>
      <c r="N779" s="123">
        <v>36363820</v>
      </c>
      <c r="O779" s="112">
        <f t="shared" si="25"/>
        <v>-5.8207513979237069E-3</v>
      </c>
    </row>
    <row r="780" spans="1:15">
      <c r="A780" s="105">
        <v>44764</v>
      </c>
      <c r="B780" s="85">
        <v>88.95</v>
      </c>
      <c r="C780" s="85">
        <v>88.95</v>
      </c>
      <c r="D780" s="85">
        <v>83.9</v>
      </c>
      <c r="E780" s="85">
        <v>84.64</v>
      </c>
      <c r="F780" s="85">
        <v>353168</v>
      </c>
      <c r="G780" s="112">
        <f t="shared" si="24"/>
        <v>-2.1842135675488317E-2</v>
      </c>
      <c r="I780" s="105">
        <v>44764</v>
      </c>
      <c r="J780" s="85">
        <v>39994.089999999997</v>
      </c>
      <c r="K780" s="85">
        <v>40181.699999999997</v>
      </c>
      <c r="L780" s="85">
        <v>39540.75</v>
      </c>
      <c r="M780" s="85">
        <v>40077.300000000003</v>
      </c>
      <c r="N780" s="123">
        <v>86737313</v>
      </c>
      <c r="O780" s="112">
        <f t="shared" si="25"/>
        <v>6.1646801860326672E-3</v>
      </c>
    </row>
    <row r="781" spans="1:15">
      <c r="A781" s="105">
        <v>44763</v>
      </c>
      <c r="B781" s="85">
        <v>89.8</v>
      </c>
      <c r="C781" s="85">
        <v>89.8</v>
      </c>
      <c r="D781" s="85">
        <v>86</v>
      </c>
      <c r="E781" s="85">
        <v>86.53</v>
      </c>
      <c r="F781" s="85">
        <v>477633</v>
      </c>
      <c r="G781" s="112">
        <f t="shared" si="24"/>
        <v>-2.0378127476508467E-2</v>
      </c>
      <c r="I781" s="105">
        <v>44763</v>
      </c>
      <c r="J781" s="85">
        <v>40472.33</v>
      </c>
      <c r="K781" s="85">
        <v>40577.21</v>
      </c>
      <c r="L781" s="85">
        <v>39797.25</v>
      </c>
      <c r="M781" s="85">
        <v>39831.75</v>
      </c>
      <c r="N781" s="123">
        <v>73101817</v>
      </c>
      <c r="O781" s="112">
        <f t="shared" si="25"/>
        <v>-1.5520382009752809E-2</v>
      </c>
    </row>
    <row r="782" spans="1:15">
      <c r="A782" s="105">
        <v>44762</v>
      </c>
      <c r="B782" s="85">
        <v>89.25</v>
      </c>
      <c r="C782" s="85">
        <v>90</v>
      </c>
      <c r="D782" s="85">
        <v>87.48</v>
      </c>
      <c r="E782" s="85">
        <v>88.33</v>
      </c>
      <c r="F782" s="85">
        <v>147724</v>
      </c>
      <c r="G782" s="112">
        <f t="shared" si="24"/>
        <v>-2.8223075186272206E-3</v>
      </c>
      <c r="I782" s="105">
        <v>44762</v>
      </c>
      <c r="J782" s="85">
        <v>40425.86</v>
      </c>
      <c r="K782" s="85">
        <v>40534.07</v>
      </c>
      <c r="L782" s="85">
        <v>40135.230000000003</v>
      </c>
      <c r="M782" s="85">
        <v>40459.699999999997</v>
      </c>
      <c r="N782" s="123">
        <v>69278924</v>
      </c>
      <c r="O782" s="112">
        <f t="shared" si="25"/>
        <v>1.748740438935581E-3</v>
      </c>
    </row>
    <row r="783" spans="1:15">
      <c r="A783" s="105">
        <v>44761</v>
      </c>
      <c r="B783" s="85">
        <v>91</v>
      </c>
      <c r="C783" s="85">
        <v>91.94</v>
      </c>
      <c r="D783" s="85">
        <v>87.8</v>
      </c>
      <c r="E783" s="85">
        <v>88.58</v>
      </c>
      <c r="F783" s="85">
        <v>536224</v>
      </c>
      <c r="G783" s="112">
        <f t="shared" si="24"/>
        <v>-2.5844055867150661E-2</v>
      </c>
      <c r="I783" s="105">
        <v>44761</v>
      </c>
      <c r="J783" s="85">
        <v>41408.410000000003</v>
      </c>
      <c r="K783" s="85">
        <v>41552.01</v>
      </c>
      <c r="L783" s="85">
        <v>40214.92</v>
      </c>
      <c r="M783" s="85">
        <v>40389.07</v>
      </c>
      <c r="N783" s="123">
        <v>103500245</v>
      </c>
      <c r="O783" s="112">
        <f t="shared" si="25"/>
        <v>-2.3642937589790525E-2</v>
      </c>
    </row>
    <row r="784" spans="1:15">
      <c r="A784" s="105">
        <v>44760</v>
      </c>
      <c r="B784" s="85">
        <v>90.27</v>
      </c>
      <c r="C784" s="85">
        <v>92.85</v>
      </c>
      <c r="D784" s="85">
        <v>90.27</v>
      </c>
      <c r="E784" s="85">
        <v>90.93</v>
      </c>
      <c r="F784" s="85">
        <v>212336</v>
      </c>
      <c r="G784" s="112">
        <f t="shared" si="24"/>
        <v>-2.0783975877665228E-2</v>
      </c>
      <c r="I784" s="105">
        <v>44760</v>
      </c>
      <c r="J784" s="85">
        <v>41720.75</v>
      </c>
      <c r="K784" s="85">
        <v>41723.230000000003</v>
      </c>
      <c r="L784" s="85">
        <v>41274.620000000003</v>
      </c>
      <c r="M784" s="85">
        <v>41367.11</v>
      </c>
      <c r="N784" s="123">
        <v>67917644</v>
      </c>
      <c r="O784" s="112">
        <f t="shared" si="25"/>
        <v>-1.6822377041329495E-2</v>
      </c>
    </row>
    <row r="785" spans="1:15">
      <c r="A785" s="105">
        <v>44757</v>
      </c>
      <c r="B785" s="85">
        <v>94.98</v>
      </c>
      <c r="C785" s="85">
        <v>94.98</v>
      </c>
      <c r="D785" s="85">
        <v>92.52</v>
      </c>
      <c r="E785" s="85">
        <v>92.86</v>
      </c>
      <c r="F785" s="85">
        <v>119617</v>
      </c>
      <c r="G785" s="112">
        <f t="shared" si="24"/>
        <v>-9.9157692717773971E-3</v>
      </c>
      <c r="I785" s="105">
        <v>44757</v>
      </c>
      <c r="J785" s="85">
        <v>42373.25</v>
      </c>
      <c r="K785" s="85">
        <v>42499.48</v>
      </c>
      <c r="L785" s="85">
        <v>42027.37</v>
      </c>
      <c r="M785" s="85">
        <v>42074.91</v>
      </c>
      <c r="N785" s="123">
        <v>77316776</v>
      </c>
      <c r="O785" s="112">
        <f t="shared" si="25"/>
        <v>-6.4700602683752662E-3</v>
      </c>
    </row>
    <row r="786" spans="1:15">
      <c r="A786" s="105">
        <v>44756</v>
      </c>
      <c r="B786" s="85">
        <v>94</v>
      </c>
      <c r="C786" s="85">
        <v>94.3</v>
      </c>
      <c r="D786" s="85">
        <v>92.41</v>
      </c>
      <c r="E786" s="85">
        <v>93.79</v>
      </c>
      <c r="F786" s="85">
        <v>488639</v>
      </c>
      <c r="G786" s="112">
        <f t="shared" si="24"/>
        <v>7.8444014614227342E-3</v>
      </c>
      <c r="I786" s="105">
        <v>44756</v>
      </c>
      <c r="J786" s="85">
        <v>42030.02</v>
      </c>
      <c r="K786" s="85">
        <v>42362.91</v>
      </c>
      <c r="L786" s="85">
        <v>41986.65</v>
      </c>
      <c r="M786" s="85">
        <v>42348.91</v>
      </c>
      <c r="N786" s="123">
        <v>132598345</v>
      </c>
      <c r="O786" s="112">
        <f t="shared" si="25"/>
        <v>1.1612705036002424E-2</v>
      </c>
    </row>
    <row r="787" spans="1:15">
      <c r="A787" s="105">
        <v>44755</v>
      </c>
      <c r="B787" s="85">
        <v>89.05</v>
      </c>
      <c r="C787" s="85">
        <v>93.97</v>
      </c>
      <c r="D787" s="85">
        <v>89.05</v>
      </c>
      <c r="E787" s="85">
        <v>93.06</v>
      </c>
      <c r="F787" s="85">
        <v>92146</v>
      </c>
      <c r="G787" s="112">
        <f t="shared" si="24"/>
        <v>1.3504683075582724E-2</v>
      </c>
      <c r="I787" s="105">
        <v>44755</v>
      </c>
      <c r="J787" s="85">
        <v>41336.89</v>
      </c>
      <c r="K787" s="85">
        <v>41971.83</v>
      </c>
      <c r="L787" s="85">
        <v>41223.97</v>
      </c>
      <c r="M787" s="85">
        <v>41862.769999999997</v>
      </c>
      <c r="N787" s="123">
        <v>80811776</v>
      </c>
      <c r="O787" s="112">
        <f t="shared" si="25"/>
        <v>1.2547404085863745E-2</v>
      </c>
    </row>
    <row r="788" spans="1:15">
      <c r="A788" s="105">
        <v>44749</v>
      </c>
      <c r="B788" s="85">
        <v>91.6</v>
      </c>
      <c r="C788" s="85">
        <v>91.97</v>
      </c>
      <c r="D788" s="85">
        <v>91.12</v>
      </c>
      <c r="E788" s="85">
        <v>91.82</v>
      </c>
      <c r="F788" s="85">
        <v>45485</v>
      </c>
      <c r="G788" s="112">
        <f t="shared" si="24"/>
        <v>1.3086150490728699E-3</v>
      </c>
      <c r="I788" s="105">
        <v>44749</v>
      </c>
      <c r="J788" s="85">
        <v>41182.839999999997</v>
      </c>
      <c r="K788" s="85">
        <v>41396.57</v>
      </c>
      <c r="L788" s="85">
        <v>41009.1</v>
      </c>
      <c r="M788" s="85">
        <v>41344.01</v>
      </c>
      <c r="N788" s="123">
        <v>55977384</v>
      </c>
      <c r="O788" s="112">
        <f t="shared" si="25"/>
        <v>4.4757274028852656E-3</v>
      </c>
    </row>
    <row r="789" spans="1:15">
      <c r="A789" s="105">
        <v>44748</v>
      </c>
      <c r="B789" s="85">
        <v>91.9</v>
      </c>
      <c r="C789" s="85">
        <v>91.98</v>
      </c>
      <c r="D789" s="85">
        <v>90.11</v>
      </c>
      <c r="E789" s="85">
        <v>91.7</v>
      </c>
      <c r="F789" s="85">
        <v>121903</v>
      </c>
      <c r="G789" s="112">
        <f t="shared" si="24"/>
        <v>1.1359876475129704E-2</v>
      </c>
      <c r="I789" s="105">
        <v>44748</v>
      </c>
      <c r="J789" s="85">
        <v>41151.019999999997</v>
      </c>
      <c r="K789" s="85">
        <v>41334.9</v>
      </c>
      <c r="L789" s="85">
        <v>41143.93</v>
      </c>
      <c r="M789" s="85">
        <v>41159.79</v>
      </c>
      <c r="N789" s="123">
        <v>41595082</v>
      </c>
      <c r="O789" s="112">
        <f t="shared" si="25"/>
        <v>1.3921270616412684E-3</v>
      </c>
    </row>
    <row r="790" spans="1:15">
      <c r="A790" s="105">
        <v>44747</v>
      </c>
      <c r="B790" s="85">
        <v>92</v>
      </c>
      <c r="C790" s="85">
        <v>92.55</v>
      </c>
      <c r="D790" s="85">
        <v>90.5</v>
      </c>
      <c r="E790" s="85">
        <v>90.67</v>
      </c>
      <c r="F790" s="85">
        <v>96954</v>
      </c>
      <c r="G790" s="112">
        <f t="shared" si="24"/>
        <v>-1.5740338688666977E-2</v>
      </c>
      <c r="I790" s="105">
        <v>44747</v>
      </c>
      <c r="J790" s="85">
        <v>41361.599999999999</v>
      </c>
      <c r="K790" s="85">
        <v>41458.080000000002</v>
      </c>
      <c r="L790" s="85">
        <v>41067.550000000003</v>
      </c>
      <c r="M790" s="85">
        <v>41102.57</v>
      </c>
      <c r="N790" s="123">
        <v>41388713</v>
      </c>
      <c r="O790" s="112">
        <f t="shared" si="25"/>
        <v>-5.9402842059108618E-3</v>
      </c>
    </row>
    <row r="791" spans="1:15">
      <c r="A791" s="105">
        <v>44746</v>
      </c>
      <c r="B791" s="85">
        <v>91.25</v>
      </c>
      <c r="C791" s="85">
        <v>92.59</v>
      </c>
      <c r="D791" s="85">
        <v>90</v>
      </c>
      <c r="E791" s="85">
        <v>92.12</v>
      </c>
      <c r="F791" s="85">
        <v>204822</v>
      </c>
      <c r="G791" s="112">
        <f t="shared" si="24"/>
        <v>1.0752688172043001E-2</v>
      </c>
      <c r="I791" s="105">
        <v>44746</v>
      </c>
      <c r="J791" s="85">
        <v>41656.65</v>
      </c>
      <c r="K791" s="85">
        <v>41685.81</v>
      </c>
      <c r="L791" s="85">
        <v>41319.11</v>
      </c>
      <c r="M791" s="85">
        <v>41348.19</v>
      </c>
      <c r="N791" s="123">
        <v>43326791</v>
      </c>
      <c r="O791" s="112">
        <f t="shared" si="25"/>
        <v>-6.777747484707608E-3</v>
      </c>
    </row>
    <row r="792" spans="1:15">
      <c r="A792" s="105">
        <v>44743</v>
      </c>
      <c r="B792" s="85">
        <v>91.49</v>
      </c>
      <c r="C792" s="85">
        <v>91.98</v>
      </c>
      <c r="D792" s="85">
        <v>89.72</v>
      </c>
      <c r="E792" s="85">
        <v>91.14</v>
      </c>
      <c r="F792" s="85">
        <v>652624</v>
      </c>
      <c r="G792" s="112">
        <f t="shared" si="24"/>
        <v>-2.1896211955332312E-3</v>
      </c>
      <c r="I792" s="105">
        <v>44743</v>
      </c>
      <c r="J792" s="85">
        <v>41579.760000000002</v>
      </c>
      <c r="K792" s="85">
        <v>41744.870000000003</v>
      </c>
      <c r="L792" s="85">
        <v>41535.51</v>
      </c>
      <c r="M792" s="85">
        <v>41630.35</v>
      </c>
      <c r="N792" s="123">
        <v>66142093</v>
      </c>
      <c r="O792" s="112">
        <f t="shared" si="25"/>
        <v>2.1549882368743223E-3</v>
      </c>
    </row>
    <row r="793" spans="1:15">
      <c r="A793" s="105">
        <v>44742</v>
      </c>
      <c r="B793" s="85">
        <v>89.9</v>
      </c>
      <c r="C793" s="85">
        <v>92.5</v>
      </c>
      <c r="D793" s="85">
        <v>89.27</v>
      </c>
      <c r="E793" s="85">
        <v>91.34</v>
      </c>
      <c r="F793" s="85">
        <v>2566730</v>
      </c>
      <c r="G793" s="112">
        <f t="shared" si="24"/>
        <v>1.3987566607460034E-2</v>
      </c>
      <c r="I793" s="105">
        <v>44742</v>
      </c>
      <c r="J793" s="85">
        <v>41297.79</v>
      </c>
      <c r="K793" s="85">
        <v>41559.31</v>
      </c>
      <c r="L793" s="85">
        <v>41220.01</v>
      </c>
      <c r="M793" s="85">
        <v>41540.83</v>
      </c>
      <c r="N793" s="123">
        <v>112646496</v>
      </c>
      <c r="O793" s="112">
        <f t="shared" si="25"/>
        <v>5.8865220921342498E-3</v>
      </c>
    </row>
    <row r="794" spans="1:15">
      <c r="A794" s="105">
        <v>44741</v>
      </c>
      <c r="B794" s="85">
        <v>94.99</v>
      </c>
      <c r="C794" s="85">
        <v>95.13</v>
      </c>
      <c r="D794" s="85">
        <v>88.3</v>
      </c>
      <c r="E794" s="85">
        <v>90.08</v>
      </c>
      <c r="F794" s="85">
        <v>3443169</v>
      </c>
      <c r="G794" s="112">
        <f t="shared" si="24"/>
        <v>-5.1489944192902981E-2</v>
      </c>
      <c r="I794" s="105">
        <v>44741</v>
      </c>
      <c r="J794" s="85">
        <v>41781.129999999997</v>
      </c>
      <c r="K794" s="85">
        <v>41813.67</v>
      </c>
      <c r="L794" s="85">
        <v>41119.19</v>
      </c>
      <c r="M794" s="85">
        <v>41297.730000000003</v>
      </c>
      <c r="N794" s="123">
        <v>78947560</v>
      </c>
      <c r="O794" s="112">
        <f t="shared" si="25"/>
        <v>-1.120275480167654E-2</v>
      </c>
    </row>
    <row r="795" spans="1:15">
      <c r="A795" s="105">
        <v>44740</v>
      </c>
      <c r="B795" s="85">
        <v>93.61</v>
      </c>
      <c r="C795" s="85">
        <v>96.44</v>
      </c>
      <c r="D795" s="85">
        <v>93.61</v>
      </c>
      <c r="E795" s="85">
        <v>94.97</v>
      </c>
      <c r="F795" s="85">
        <v>573062</v>
      </c>
      <c r="G795" s="112">
        <f t="shared" si="24"/>
        <v>-2.8349433011339853E-3</v>
      </c>
      <c r="I795" s="105">
        <v>44740</v>
      </c>
      <c r="J795" s="85">
        <v>41902.6</v>
      </c>
      <c r="K795" s="85">
        <v>42149.29</v>
      </c>
      <c r="L795" s="85">
        <v>41609.040000000001</v>
      </c>
      <c r="M795" s="85">
        <v>41765.620000000003</v>
      </c>
      <c r="N795" s="123">
        <v>120026838</v>
      </c>
      <c r="O795" s="112">
        <f t="shared" si="25"/>
        <v>-2.6970834964039625E-3</v>
      </c>
    </row>
    <row r="796" spans="1:15">
      <c r="A796" s="105">
        <v>44739</v>
      </c>
      <c r="B796" s="85">
        <v>93</v>
      </c>
      <c r="C796" s="85">
        <v>97.49</v>
      </c>
      <c r="D796" s="85">
        <v>91.1</v>
      </c>
      <c r="E796" s="85">
        <v>95.24</v>
      </c>
      <c r="F796" s="85">
        <v>992359</v>
      </c>
      <c r="G796" s="112">
        <f t="shared" si="24"/>
        <v>2.551954344783014E-2</v>
      </c>
      <c r="I796" s="105">
        <v>44739</v>
      </c>
      <c r="J796" s="85">
        <v>41223.4</v>
      </c>
      <c r="K796" s="85">
        <v>41952.43</v>
      </c>
      <c r="L796" s="85">
        <v>41223.4</v>
      </c>
      <c r="M796" s="85">
        <v>41878.57</v>
      </c>
      <c r="N796" s="123">
        <v>122621047</v>
      </c>
      <c r="O796" s="112">
        <f t="shared" si="25"/>
        <v>2.0139925688989369E-2</v>
      </c>
    </row>
    <row r="797" spans="1:15">
      <c r="A797" s="105">
        <v>44736</v>
      </c>
      <c r="B797" s="85">
        <v>96.48</v>
      </c>
      <c r="C797" s="85">
        <v>96.48</v>
      </c>
      <c r="D797" s="85">
        <v>90</v>
      </c>
      <c r="E797" s="85">
        <v>92.87</v>
      </c>
      <c r="F797" s="85">
        <v>1533544</v>
      </c>
      <c r="G797" s="112">
        <f t="shared" si="24"/>
        <v>-2.5600671493022698E-2</v>
      </c>
      <c r="I797" s="105">
        <v>44736</v>
      </c>
      <c r="J797" s="85">
        <v>42713.66</v>
      </c>
      <c r="K797" s="85">
        <v>42782.34</v>
      </c>
      <c r="L797" s="85">
        <v>40540.58</v>
      </c>
      <c r="M797" s="85">
        <v>41051.79</v>
      </c>
      <c r="N797" s="123">
        <v>210809048</v>
      </c>
      <c r="O797" s="112">
        <f t="shared" si="25"/>
        <v>-3.8981697437809881E-2</v>
      </c>
    </row>
    <row r="798" spans="1:15">
      <c r="A798" s="105">
        <v>44735</v>
      </c>
      <c r="B798" s="85">
        <v>95.05</v>
      </c>
      <c r="C798" s="85">
        <v>97.7</v>
      </c>
      <c r="D798" s="85">
        <v>95</v>
      </c>
      <c r="E798" s="85">
        <v>95.31</v>
      </c>
      <c r="F798" s="85">
        <v>623293</v>
      </c>
      <c r="G798" s="112">
        <f t="shared" si="24"/>
        <v>-1.4680037216995734E-2</v>
      </c>
      <c r="I798" s="105">
        <v>44735</v>
      </c>
      <c r="J798" s="85">
        <v>42555.23</v>
      </c>
      <c r="K798" s="85">
        <v>42987.88</v>
      </c>
      <c r="L798" s="85">
        <v>42539.32</v>
      </c>
      <c r="M798" s="85">
        <v>42716.97</v>
      </c>
      <c r="N798" s="123">
        <v>185691810</v>
      </c>
      <c r="O798" s="112">
        <f t="shared" si="25"/>
        <v>6.0961219686024304E-3</v>
      </c>
    </row>
    <row r="799" spans="1:15">
      <c r="A799" s="105">
        <v>44734</v>
      </c>
      <c r="B799" s="85">
        <v>96.15</v>
      </c>
      <c r="C799" s="85">
        <v>99.39</v>
      </c>
      <c r="D799" s="85">
        <v>96.15</v>
      </c>
      <c r="E799" s="85">
        <v>96.73</v>
      </c>
      <c r="F799" s="85">
        <v>3538321</v>
      </c>
      <c r="G799" s="112">
        <f t="shared" si="24"/>
        <v>-2.3721122112210224E-3</v>
      </c>
      <c r="I799" s="105">
        <v>44734</v>
      </c>
      <c r="J799" s="85">
        <v>42692.89</v>
      </c>
      <c r="K799" s="85">
        <v>42880.4</v>
      </c>
      <c r="L799" s="85">
        <v>42408.07</v>
      </c>
      <c r="M799" s="85">
        <v>42458.14</v>
      </c>
      <c r="N799" s="123">
        <v>113646198</v>
      </c>
      <c r="O799" s="112">
        <f t="shared" si="25"/>
        <v>-1.5945557947558697E-3</v>
      </c>
    </row>
    <row r="800" spans="1:15">
      <c r="A800" s="105">
        <v>44733</v>
      </c>
      <c r="B800" s="85">
        <v>96.43</v>
      </c>
      <c r="C800" s="85">
        <v>97.1</v>
      </c>
      <c r="D800" s="85">
        <v>94.22</v>
      </c>
      <c r="E800" s="85">
        <v>96.96</v>
      </c>
      <c r="F800" s="85">
        <v>4839780</v>
      </c>
      <c r="G800" s="112">
        <f t="shared" si="24"/>
        <v>1.635220125786141E-2</v>
      </c>
      <c r="I800" s="105">
        <v>44733</v>
      </c>
      <c r="J800" s="85">
        <v>41796.47</v>
      </c>
      <c r="K800" s="85">
        <v>42569.33</v>
      </c>
      <c r="L800" s="85">
        <v>41745.269999999997</v>
      </c>
      <c r="M800" s="85">
        <v>42525.95</v>
      </c>
      <c r="N800" s="123">
        <v>135278184</v>
      </c>
      <c r="O800" s="112">
        <f t="shared" si="25"/>
        <v>1.7927815749247511E-2</v>
      </c>
    </row>
    <row r="801" spans="1:15">
      <c r="A801" s="105">
        <v>44732</v>
      </c>
      <c r="B801" s="85">
        <v>96.48</v>
      </c>
      <c r="C801" s="85">
        <v>96.75</v>
      </c>
      <c r="D801" s="85">
        <v>94.11</v>
      </c>
      <c r="E801" s="85">
        <v>95.4</v>
      </c>
      <c r="F801" s="85">
        <v>85696</v>
      </c>
      <c r="G801" s="112">
        <f t="shared" si="24"/>
        <v>-3.4471952366029734E-3</v>
      </c>
      <c r="I801" s="105">
        <v>44732</v>
      </c>
      <c r="J801" s="85">
        <v>42190.1</v>
      </c>
      <c r="K801" s="85">
        <v>42357.919999999998</v>
      </c>
      <c r="L801" s="85">
        <v>41735.53</v>
      </c>
      <c r="M801" s="85">
        <v>41776.980000000003</v>
      </c>
      <c r="N801" s="123">
        <v>66484060</v>
      </c>
      <c r="O801" s="112">
        <f t="shared" si="25"/>
        <v>-8.632497373089576E-3</v>
      </c>
    </row>
    <row r="802" spans="1:15">
      <c r="A802" s="105">
        <v>44729</v>
      </c>
      <c r="B802" s="85">
        <v>96.49</v>
      </c>
      <c r="C802" s="85">
        <v>97</v>
      </c>
      <c r="D802" s="85">
        <v>94</v>
      </c>
      <c r="E802" s="85">
        <v>95.73</v>
      </c>
      <c r="F802" s="85">
        <v>660783</v>
      </c>
      <c r="G802" s="112">
        <f t="shared" si="24"/>
        <v>7.8963992419456286E-3</v>
      </c>
      <c r="I802" s="105">
        <v>44729</v>
      </c>
      <c r="J802" s="85">
        <v>41746.04</v>
      </c>
      <c r="K802" s="85">
        <v>42420.639999999999</v>
      </c>
      <c r="L802" s="85">
        <v>41746.04</v>
      </c>
      <c r="M802" s="85">
        <v>42140.76</v>
      </c>
      <c r="N802" s="123">
        <v>130817436</v>
      </c>
      <c r="O802" s="112">
        <f t="shared" si="25"/>
        <v>9.8394063190747616E-3</v>
      </c>
    </row>
    <row r="803" spans="1:15">
      <c r="A803" s="105">
        <v>44728</v>
      </c>
      <c r="B803" s="85">
        <v>94.01</v>
      </c>
      <c r="C803" s="85">
        <v>96</v>
      </c>
      <c r="D803" s="85">
        <v>94.01</v>
      </c>
      <c r="E803" s="85">
        <v>94.98</v>
      </c>
      <c r="F803" s="85">
        <v>301742</v>
      </c>
      <c r="G803" s="112">
        <f t="shared" si="24"/>
        <v>-3.1486146095717205E-3</v>
      </c>
      <c r="I803" s="105">
        <v>44728</v>
      </c>
      <c r="J803" s="85">
        <v>41450.83</v>
      </c>
      <c r="K803" s="85">
        <v>41764.19</v>
      </c>
      <c r="L803" s="85">
        <v>41322.89</v>
      </c>
      <c r="M803" s="85">
        <v>41730.160000000003</v>
      </c>
      <c r="N803" s="123">
        <v>73221131</v>
      </c>
      <c r="O803" s="112">
        <f t="shared" si="25"/>
        <v>7.0313346504566887E-3</v>
      </c>
    </row>
    <row r="804" spans="1:15">
      <c r="A804" s="105">
        <v>44727</v>
      </c>
      <c r="B804" s="85">
        <v>94.68</v>
      </c>
      <c r="C804" s="85">
        <v>95.99</v>
      </c>
      <c r="D804" s="85">
        <v>93</v>
      </c>
      <c r="E804" s="85">
        <v>95.28</v>
      </c>
      <c r="F804" s="85">
        <v>373084</v>
      </c>
      <c r="G804" s="112">
        <f t="shared" si="24"/>
        <v>1.9255455712451797E-2</v>
      </c>
      <c r="I804" s="105">
        <v>44727</v>
      </c>
      <c r="J804" s="85">
        <v>41146.410000000003</v>
      </c>
      <c r="K804" s="85">
        <v>41535.24</v>
      </c>
      <c r="L804" s="85">
        <v>41132.559999999998</v>
      </c>
      <c r="M804" s="85">
        <v>41438.79</v>
      </c>
      <c r="N804" s="123">
        <v>60086371</v>
      </c>
      <c r="O804" s="112">
        <f t="shared" si="25"/>
        <v>9.3560587976815324E-3</v>
      </c>
    </row>
    <row r="805" spans="1:15">
      <c r="A805" s="105">
        <v>44726</v>
      </c>
      <c r="B805" s="85">
        <v>91</v>
      </c>
      <c r="C805" s="85">
        <v>93.85</v>
      </c>
      <c r="D805" s="85">
        <v>90.01</v>
      </c>
      <c r="E805" s="85">
        <v>93.48</v>
      </c>
      <c r="F805" s="85">
        <v>496900</v>
      </c>
      <c r="G805" s="112">
        <f t="shared" si="24"/>
        <v>3.3613445378151363E-2</v>
      </c>
      <c r="I805" s="105">
        <v>44726</v>
      </c>
      <c r="J805" s="85">
        <v>40871.99</v>
      </c>
      <c r="K805" s="85">
        <v>41115.79</v>
      </c>
      <c r="L805" s="85">
        <v>40657.879999999997</v>
      </c>
      <c r="M805" s="85">
        <v>41054.68</v>
      </c>
      <c r="N805" s="123">
        <v>55761379</v>
      </c>
      <c r="O805" s="112">
        <f t="shared" si="25"/>
        <v>4.2747137776411037E-3</v>
      </c>
    </row>
    <row r="806" spans="1:15">
      <c r="A806" s="105">
        <v>44725</v>
      </c>
      <c r="B806" s="85">
        <v>95.99</v>
      </c>
      <c r="C806" s="85">
        <v>95.99</v>
      </c>
      <c r="D806" s="85">
        <v>89</v>
      </c>
      <c r="E806" s="85">
        <v>90.44</v>
      </c>
      <c r="F806" s="85">
        <v>1666847</v>
      </c>
      <c r="G806" s="112">
        <f t="shared" si="24"/>
        <v>-5.0299275438412283E-2</v>
      </c>
      <c r="I806" s="105">
        <v>44725</v>
      </c>
      <c r="J806" s="85">
        <v>42045.57</v>
      </c>
      <c r="K806" s="85">
        <v>42069.65</v>
      </c>
      <c r="L806" s="85">
        <v>40833.5</v>
      </c>
      <c r="M806" s="85">
        <v>40879.93</v>
      </c>
      <c r="N806" s="123">
        <v>62710521</v>
      </c>
      <c r="O806" s="112">
        <f t="shared" si="25"/>
        <v>-2.7009574975252804E-2</v>
      </c>
    </row>
    <row r="807" spans="1:15">
      <c r="A807" s="105">
        <v>44722</v>
      </c>
      <c r="B807" s="85">
        <v>96.58</v>
      </c>
      <c r="C807" s="85">
        <v>96.58</v>
      </c>
      <c r="D807" s="85">
        <v>95</v>
      </c>
      <c r="E807" s="85">
        <v>95.23</v>
      </c>
      <c r="F807" s="85">
        <v>328567</v>
      </c>
      <c r="G807" s="112">
        <f t="shared" si="24"/>
        <v>-1.2585212375457733E-3</v>
      </c>
      <c r="I807" s="105">
        <v>44722</v>
      </c>
      <c r="J807" s="85">
        <v>41766.480000000003</v>
      </c>
      <c r="K807" s="85">
        <v>42076.14</v>
      </c>
      <c r="L807" s="85">
        <v>41715.050000000003</v>
      </c>
      <c r="M807" s="85">
        <v>42014.73</v>
      </c>
      <c r="N807" s="123">
        <v>39391037</v>
      </c>
      <c r="O807" s="112">
        <f t="shared" si="25"/>
        <v>6.6793719372935101E-3</v>
      </c>
    </row>
    <row r="808" spans="1:15">
      <c r="A808" s="105">
        <v>44721</v>
      </c>
      <c r="B808" s="85">
        <v>95.89</v>
      </c>
      <c r="C808" s="85">
        <v>96.89</v>
      </c>
      <c r="D808" s="85">
        <v>95.05</v>
      </c>
      <c r="E808" s="85">
        <v>95.35</v>
      </c>
      <c r="F808" s="85">
        <v>159495</v>
      </c>
      <c r="G808" s="112">
        <f t="shared" si="24"/>
        <v>-5.6314527062260034E-3</v>
      </c>
      <c r="I808" s="105">
        <v>44721</v>
      </c>
      <c r="J808" s="85">
        <v>41585.25</v>
      </c>
      <c r="K808" s="85">
        <v>41997.22</v>
      </c>
      <c r="L808" s="85">
        <v>41573.75</v>
      </c>
      <c r="M808" s="85">
        <v>41735.96</v>
      </c>
      <c r="N808" s="123">
        <v>66320930</v>
      </c>
      <c r="O808" s="112">
        <f t="shared" si="25"/>
        <v>4.3991840813069061E-3</v>
      </c>
    </row>
    <row r="809" spans="1:15">
      <c r="A809" s="105">
        <v>44720</v>
      </c>
      <c r="B809" s="85">
        <v>98.33</v>
      </c>
      <c r="C809" s="85">
        <v>98.33</v>
      </c>
      <c r="D809" s="85">
        <v>95.75</v>
      </c>
      <c r="E809" s="85">
        <v>95.89</v>
      </c>
      <c r="F809" s="85">
        <v>282448</v>
      </c>
      <c r="G809" s="112">
        <f t="shared" si="24"/>
        <v>-1.2257931602801753E-2</v>
      </c>
      <c r="I809" s="105">
        <v>44720</v>
      </c>
      <c r="J809" s="85">
        <v>41539.11</v>
      </c>
      <c r="K809" s="85">
        <v>41620.71</v>
      </c>
      <c r="L809" s="85">
        <v>41391.53</v>
      </c>
      <c r="M809" s="85">
        <v>41553.160000000003</v>
      </c>
      <c r="N809" s="123">
        <v>73399433</v>
      </c>
      <c r="O809" s="112">
        <f t="shared" si="25"/>
        <v>-3.6686512666705973E-4</v>
      </c>
    </row>
    <row r="810" spans="1:15">
      <c r="A810" s="105">
        <v>44719</v>
      </c>
      <c r="B810" s="85">
        <v>99.49</v>
      </c>
      <c r="C810" s="85">
        <v>99.9</v>
      </c>
      <c r="D810" s="85">
        <v>96.15</v>
      </c>
      <c r="E810" s="85">
        <v>97.08</v>
      </c>
      <c r="F810" s="85">
        <v>263677</v>
      </c>
      <c r="G810" s="112">
        <f t="shared" si="24"/>
        <v>-1.1304613504430128E-2</v>
      </c>
      <c r="I810" s="105">
        <v>44719</v>
      </c>
      <c r="J810" s="85">
        <v>41693.32</v>
      </c>
      <c r="K810" s="85">
        <v>41854.25</v>
      </c>
      <c r="L810" s="85">
        <v>41522.230000000003</v>
      </c>
      <c r="M810" s="85">
        <v>41568.410000000003</v>
      </c>
      <c r="N810" s="123">
        <v>62247132</v>
      </c>
      <c r="O810" s="112">
        <f t="shared" si="25"/>
        <v>-2.1165441355963655E-4</v>
      </c>
    </row>
    <row r="811" spans="1:15">
      <c r="A811" s="105">
        <v>44718</v>
      </c>
      <c r="B811" s="85">
        <v>96.1</v>
      </c>
      <c r="C811" s="85">
        <v>99</v>
      </c>
      <c r="D811" s="85">
        <v>96.1</v>
      </c>
      <c r="E811" s="85">
        <v>98.19</v>
      </c>
      <c r="F811" s="85">
        <v>338817</v>
      </c>
      <c r="G811" s="112">
        <f t="shared" si="24"/>
        <v>1.5198511166253148E-2</v>
      </c>
      <c r="I811" s="105">
        <v>44718</v>
      </c>
      <c r="J811" s="85">
        <v>41291.15</v>
      </c>
      <c r="K811" s="85">
        <v>41675.81</v>
      </c>
      <c r="L811" s="85">
        <v>41030.94</v>
      </c>
      <c r="M811" s="85">
        <v>41577.21</v>
      </c>
      <c r="N811" s="123">
        <v>95388706</v>
      </c>
      <c r="O811" s="112">
        <f t="shared" si="25"/>
        <v>6.349528305540364E-3</v>
      </c>
    </row>
    <row r="812" spans="1:15">
      <c r="A812" s="105">
        <v>44715</v>
      </c>
      <c r="B812" s="85">
        <v>99.85</v>
      </c>
      <c r="C812" s="85">
        <v>99.96</v>
      </c>
      <c r="D812" s="85">
        <v>96</v>
      </c>
      <c r="E812" s="85">
        <v>96.72</v>
      </c>
      <c r="F812" s="85">
        <v>3428620</v>
      </c>
      <c r="G812" s="112">
        <f t="shared" si="24"/>
        <v>-2.9305499799277435E-2</v>
      </c>
      <c r="I812" s="105">
        <v>44715</v>
      </c>
      <c r="J812" s="85">
        <v>42298.95</v>
      </c>
      <c r="K812" s="85">
        <v>42311.05</v>
      </c>
      <c r="L812" s="85">
        <v>41145.35</v>
      </c>
      <c r="M812" s="85">
        <v>41314.879999999997</v>
      </c>
      <c r="N812" s="123">
        <v>130020941</v>
      </c>
      <c r="O812" s="112">
        <f t="shared" si="25"/>
        <v>-2.1853117258879617E-2</v>
      </c>
    </row>
    <row r="813" spans="1:15">
      <c r="A813" s="105">
        <v>44714</v>
      </c>
      <c r="B813" s="85">
        <v>102.99</v>
      </c>
      <c r="C813" s="85">
        <v>103</v>
      </c>
      <c r="D813" s="85">
        <v>99.3</v>
      </c>
      <c r="E813" s="85">
        <v>99.64</v>
      </c>
      <c r="F813" s="85">
        <v>1278137</v>
      </c>
      <c r="G813" s="112">
        <f t="shared" si="24"/>
        <v>-2.3328759066849614E-2</v>
      </c>
      <c r="I813" s="105">
        <v>44714</v>
      </c>
      <c r="J813" s="85">
        <v>42744.639999999999</v>
      </c>
      <c r="K813" s="85">
        <v>42823.07</v>
      </c>
      <c r="L813" s="85">
        <v>42132.95</v>
      </c>
      <c r="M813" s="85">
        <v>42237.91</v>
      </c>
      <c r="N813" s="123">
        <v>70103522</v>
      </c>
      <c r="O813" s="112">
        <f t="shared" si="25"/>
        <v>-1.2118287848921439E-2</v>
      </c>
    </row>
    <row r="814" spans="1:15">
      <c r="A814" s="105">
        <v>44713</v>
      </c>
      <c r="B814" s="85">
        <v>103</v>
      </c>
      <c r="C814" s="85">
        <v>103.8</v>
      </c>
      <c r="D814" s="85">
        <v>101.7</v>
      </c>
      <c r="E814" s="85">
        <v>102.02</v>
      </c>
      <c r="F814" s="85">
        <v>597954</v>
      </c>
      <c r="G814" s="112">
        <f t="shared" si="24"/>
        <v>-1.3346228239845326E-2</v>
      </c>
      <c r="I814" s="105">
        <v>44713</v>
      </c>
      <c r="J814" s="85">
        <v>43073.24</v>
      </c>
      <c r="K814" s="85">
        <v>43149.17</v>
      </c>
      <c r="L814" s="85">
        <v>42718.73</v>
      </c>
      <c r="M814" s="85">
        <v>42756.04</v>
      </c>
      <c r="N814" s="123">
        <v>68310653</v>
      </c>
      <c r="O814" s="112">
        <f t="shared" si="25"/>
        <v>-7.4771102002082479E-3</v>
      </c>
    </row>
    <row r="815" spans="1:15">
      <c r="A815" s="105">
        <v>44712</v>
      </c>
      <c r="B815" s="85">
        <v>104.88</v>
      </c>
      <c r="C815" s="85">
        <v>104.88</v>
      </c>
      <c r="D815" s="85">
        <v>102.17</v>
      </c>
      <c r="E815" s="85">
        <v>103.4</v>
      </c>
      <c r="F815" s="85">
        <v>1211963</v>
      </c>
      <c r="G815" s="112">
        <f t="shared" si="24"/>
        <v>-3.8669760247478369E-4</v>
      </c>
      <c r="I815" s="105">
        <v>44712</v>
      </c>
      <c r="J815" s="85">
        <v>43250.239999999998</v>
      </c>
      <c r="K815" s="85">
        <v>43341.79</v>
      </c>
      <c r="L815" s="85">
        <v>43016.86</v>
      </c>
      <c r="M815" s="85">
        <v>43078.14</v>
      </c>
      <c r="N815" s="123">
        <v>122472161</v>
      </c>
      <c r="O815" s="112">
        <f t="shared" si="25"/>
        <v>8.8289675637676091E-4</v>
      </c>
    </row>
    <row r="816" spans="1:15">
      <c r="A816" s="105">
        <v>44711</v>
      </c>
      <c r="B816" s="85">
        <v>104</v>
      </c>
      <c r="C816" s="85">
        <v>105.38</v>
      </c>
      <c r="D816" s="85">
        <v>102.21</v>
      </c>
      <c r="E816" s="85">
        <v>103.44</v>
      </c>
      <c r="F816" s="85">
        <v>84055</v>
      </c>
      <c r="G816" s="112">
        <f t="shared" si="24"/>
        <v>-2.6034133641885671E-3</v>
      </c>
      <c r="I816" s="105">
        <v>44711</v>
      </c>
      <c r="J816" s="85">
        <v>42956.57</v>
      </c>
      <c r="K816" s="85">
        <v>43259.14</v>
      </c>
      <c r="L816" s="85">
        <v>42902.42</v>
      </c>
      <c r="M816" s="85">
        <v>43040.14</v>
      </c>
      <c r="N816" s="123">
        <v>81294999</v>
      </c>
      <c r="O816" s="112">
        <f t="shared" si="25"/>
        <v>4.1690143473913643E-3</v>
      </c>
    </row>
    <row r="817" spans="1:15">
      <c r="A817" s="105">
        <v>44708</v>
      </c>
      <c r="B817" s="85">
        <v>104</v>
      </c>
      <c r="C817" s="85">
        <v>106.44</v>
      </c>
      <c r="D817" s="85">
        <v>103.04</v>
      </c>
      <c r="E817" s="85">
        <v>103.71</v>
      </c>
      <c r="F817" s="85">
        <v>865427</v>
      </c>
      <c r="G817" s="112">
        <f t="shared" si="24"/>
        <v>2.9010733971568392E-3</v>
      </c>
      <c r="I817" s="105">
        <v>44708</v>
      </c>
      <c r="J817" s="85">
        <v>42990.73</v>
      </c>
      <c r="K817" s="85">
        <v>43554.75</v>
      </c>
      <c r="L817" s="85">
        <v>42771.75</v>
      </c>
      <c r="M817" s="85">
        <v>42861.45</v>
      </c>
      <c r="N817" s="123">
        <v>236797768</v>
      </c>
      <c r="O817" s="112">
        <f t="shared" si="25"/>
        <v>7.5159179073900351E-3</v>
      </c>
    </row>
    <row r="818" spans="1:15">
      <c r="A818" s="105">
        <v>44707</v>
      </c>
      <c r="B818" s="85">
        <v>102.62</v>
      </c>
      <c r="C818" s="85">
        <v>103.97</v>
      </c>
      <c r="D818" s="85">
        <v>102.6</v>
      </c>
      <c r="E818" s="85">
        <v>103.41</v>
      </c>
      <c r="F818" s="85">
        <v>284727</v>
      </c>
      <c r="G818" s="112">
        <f t="shared" si="24"/>
        <v>7.7965110613000821E-3</v>
      </c>
      <c r="I818" s="105">
        <v>44707</v>
      </c>
      <c r="J818" s="85">
        <v>42003.71</v>
      </c>
      <c r="K818" s="85">
        <v>42607.43</v>
      </c>
      <c r="L818" s="85">
        <v>41900.71</v>
      </c>
      <c r="M818" s="85">
        <v>42541.71</v>
      </c>
      <c r="N818" s="123">
        <v>133682399</v>
      </c>
      <c r="O818" s="112">
        <f t="shared" si="25"/>
        <v>1.259263279211531E-2</v>
      </c>
    </row>
    <row r="819" spans="1:15">
      <c r="A819" s="105">
        <v>44706</v>
      </c>
      <c r="B819" s="85">
        <v>102.45</v>
      </c>
      <c r="C819" s="85">
        <v>102.9</v>
      </c>
      <c r="D819" s="85">
        <v>101.02</v>
      </c>
      <c r="E819" s="85">
        <v>102.61</v>
      </c>
      <c r="F819" s="85">
        <v>2212379</v>
      </c>
      <c r="G819" s="112">
        <f t="shared" si="24"/>
        <v>2.7362454803088188E-3</v>
      </c>
      <c r="I819" s="105">
        <v>44706</v>
      </c>
      <c r="J819" s="85">
        <v>41899.53</v>
      </c>
      <c r="K819" s="85">
        <v>42128.41</v>
      </c>
      <c r="L819" s="85">
        <v>41356.019999999997</v>
      </c>
      <c r="M819" s="85">
        <v>42012.66</v>
      </c>
      <c r="N819" s="123">
        <v>120553891</v>
      </c>
      <c r="O819" s="112">
        <f t="shared" si="25"/>
        <v>1.4860434914443221E-3</v>
      </c>
    </row>
    <row r="820" spans="1:15">
      <c r="A820" s="105">
        <v>44705</v>
      </c>
      <c r="B820" s="85">
        <v>101</v>
      </c>
      <c r="C820" s="85">
        <v>103.29</v>
      </c>
      <c r="D820" s="85">
        <v>101</v>
      </c>
      <c r="E820" s="85">
        <v>102.33</v>
      </c>
      <c r="F820" s="85">
        <v>533064</v>
      </c>
      <c r="G820" s="112">
        <f t="shared" si="24"/>
        <v>2.6455026455025621E-3</v>
      </c>
      <c r="I820" s="105">
        <v>44705</v>
      </c>
      <c r="J820" s="85">
        <v>42369.1</v>
      </c>
      <c r="K820" s="85">
        <v>42637.54</v>
      </c>
      <c r="L820" s="85">
        <v>41915.980000000003</v>
      </c>
      <c r="M820" s="85">
        <v>41950.32</v>
      </c>
      <c r="N820" s="123">
        <v>76029692</v>
      </c>
      <c r="O820" s="112">
        <f t="shared" si="25"/>
        <v>-1.154376129823953E-2</v>
      </c>
    </row>
    <row r="821" spans="1:15">
      <c r="A821" s="105">
        <v>44704</v>
      </c>
      <c r="B821" s="85">
        <v>102.1</v>
      </c>
      <c r="C821" s="85">
        <v>103.24</v>
      </c>
      <c r="D821" s="85">
        <v>100.2</v>
      </c>
      <c r="E821" s="85">
        <v>102.06</v>
      </c>
      <c r="F821" s="85">
        <v>579563</v>
      </c>
      <c r="G821" s="112">
        <f t="shared" si="24"/>
        <v>-2.9385836027040479E-4</v>
      </c>
      <c r="I821" s="105">
        <v>44704</v>
      </c>
      <c r="J821" s="85">
        <v>42930.39</v>
      </c>
      <c r="K821" s="85">
        <v>42930.39</v>
      </c>
      <c r="L821" s="85">
        <v>42341.64</v>
      </c>
      <c r="M821" s="85">
        <v>42440.24</v>
      </c>
      <c r="N821" s="123">
        <v>54453888</v>
      </c>
      <c r="O821" s="112">
        <f t="shared" si="25"/>
        <v>-1.5323649035862474E-2</v>
      </c>
    </row>
    <row r="822" spans="1:15">
      <c r="A822" s="105">
        <v>44701</v>
      </c>
      <c r="B822" s="85">
        <v>101.01</v>
      </c>
      <c r="C822" s="85">
        <v>102.3</v>
      </c>
      <c r="D822" s="85">
        <v>101</v>
      </c>
      <c r="E822" s="85">
        <v>102.09</v>
      </c>
      <c r="F822" s="85">
        <v>1150428</v>
      </c>
      <c r="G822" s="112">
        <f t="shared" si="24"/>
        <v>6.5069506063295535E-3</v>
      </c>
      <c r="I822" s="105">
        <v>44701</v>
      </c>
      <c r="J822" s="85">
        <v>43133.11</v>
      </c>
      <c r="K822" s="85">
        <v>43187.12</v>
      </c>
      <c r="L822" s="85">
        <v>42938.6</v>
      </c>
      <c r="M822" s="85">
        <v>43100.7</v>
      </c>
      <c r="N822" s="123">
        <v>84689714</v>
      </c>
      <c r="O822" s="112">
        <f t="shared" si="25"/>
        <v>2.7277940695780156E-3</v>
      </c>
    </row>
    <row r="823" spans="1:15">
      <c r="A823" s="105">
        <v>44700</v>
      </c>
      <c r="B823" s="85">
        <v>102.98</v>
      </c>
      <c r="C823" s="85">
        <v>102.98</v>
      </c>
      <c r="D823" s="85">
        <v>101</v>
      </c>
      <c r="E823" s="85">
        <v>101.43</v>
      </c>
      <c r="F823" s="85">
        <v>573923</v>
      </c>
      <c r="G823" s="112">
        <f t="shared" si="24"/>
        <v>-7.2428305764901113E-3</v>
      </c>
      <c r="I823" s="105">
        <v>44700</v>
      </c>
      <c r="J823" s="85">
        <v>43021.13</v>
      </c>
      <c r="K823" s="85">
        <v>43258.59</v>
      </c>
      <c r="L823" s="85">
        <v>42938.75</v>
      </c>
      <c r="M823" s="85">
        <v>42983.45</v>
      </c>
      <c r="N823" s="123">
        <v>82183370</v>
      </c>
      <c r="O823" s="112">
        <f t="shared" si="25"/>
        <v>-1.0093690269896705E-3</v>
      </c>
    </row>
    <row r="824" spans="1:15">
      <c r="A824" s="105">
        <v>44699</v>
      </c>
      <c r="B824" s="85">
        <v>101.99</v>
      </c>
      <c r="C824" s="85">
        <v>103.2</v>
      </c>
      <c r="D824" s="85">
        <v>101.31</v>
      </c>
      <c r="E824" s="85">
        <v>102.17</v>
      </c>
      <c r="F824" s="85">
        <v>478743</v>
      </c>
      <c r="G824" s="112">
        <f t="shared" si="24"/>
        <v>4.5226624717333852E-3</v>
      </c>
      <c r="I824" s="105">
        <v>44699</v>
      </c>
      <c r="J824" s="85">
        <v>42751.88</v>
      </c>
      <c r="K824" s="85">
        <v>43161.43</v>
      </c>
      <c r="L824" s="85">
        <v>42508.3</v>
      </c>
      <c r="M824" s="85">
        <v>43026.879999999997</v>
      </c>
      <c r="N824" s="123">
        <v>117993066</v>
      </c>
      <c r="O824" s="112">
        <f t="shared" si="25"/>
        <v>7.0406679202341671E-3</v>
      </c>
    </row>
    <row r="825" spans="1:15">
      <c r="A825" s="105">
        <v>44698</v>
      </c>
      <c r="B825" s="85">
        <v>101.8</v>
      </c>
      <c r="C825" s="85">
        <v>102.35</v>
      </c>
      <c r="D825" s="85">
        <v>100.15</v>
      </c>
      <c r="E825" s="85">
        <v>101.71</v>
      </c>
      <c r="F825" s="85">
        <v>1015919</v>
      </c>
      <c r="G825" s="112">
        <f t="shared" si="24"/>
        <v>7.628294036061023E-3</v>
      </c>
      <c r="I825" s="105">
        <v>44698</v>
      </c>
      <c r="J825" s="85">
        <v>42740.28</v>
      </c>
      <c r="K825" s="85">
        <v>42887.43</v>
      </c>
      <c r="L825" s="85">
        <v>42605.11</v>
      </c>
      <c r="M825" s="85">
        <v>42726.06</v>
      </c>
      <c r="N825" s="123">
        <v>97152790</v>
      </c>
      <c r="O825" s="112">
        <f t="shared" si="25"/>
        <v>1.3766976693168065E-3</v>
      </c>
    </row>
    <row r="826" spans="1:15">
      <c r="A826" s="105">
        <v>44697</v>
      </c>
      <c r="B826" s="85">
        <v>102.5</v>
      </c>
      <c r="C826" s="85">
        <v>102.5</v>
      </c>
      <c r="D826" s="85">
        <v>99.75</v>
      </c>
      <c r="E826" s="85">
        <v>100.94</v>
      </c>
      <c r="F826" s="85">
        <v>10735709</v>
      </c>
      <c r="G826" s="112">
        <f t="shared" si="24"/>
        <v>-1.7806752943466009E-2</v>
      </c>
      <c r="I826" s="105">
        <v>44697</v>
      </c>
      <c r="J826" s="85">
        <v>43302</v>
      </c>
      <c r="K826" s="85">
        <v>43302</v>
      </c>
      <c r="L826" s="85">
        <v>42373.14</v>
      </c>
      <c r="M826" s="85">
        <v>42667.32</v>
      </c>
      <c r="N826" s="123">
        <v>135503439</v>
      </c>
      <c r="O826" s="112">
        <f t="shared" si="25"/>
        <v>-1.8836667781189864E-2</v>
      </c>
    </row>
    <row r="827" spans="1:15">
      <c r="A827" s="105">
        <v>44694</v>
      </c>
      <c r="B827" s="85">
        <v>102</v>
      </c>
      <c r="C827" s="85">
        <v>103.48</v>
      </c>
      <c r="D827" s="85">
        <v>101</v>
      </c>
      <c r="E827" s="85">
        <v>102.77</v>
      </c>
      <c r="F827" s="85">
        <v>321289</v>
      </c>
      <c r="G827" s="112">
        <f t="shared" si="24"/>
        <v>7.5490196078431548E-3</v>
      </c>
      <c r="I827" s="105">
        <v>44694</v>
      </c>
      <c r="J827" s="85">
        <v>42930.51</v>
      </c>
      <c r="K827" s="85">
        <v>43505.75</v>
      </c>
      <c r="L827" s="85">
        <v>42853.5</v>
      </c>
      <c r="M827" s="85">
        <v>43486.46</v>
      </c>
      <c r="N827" s="123">
        <v>100458660</v>
      </c>
      <c r="O827" s="112">
        <f t="shared" si="25"/>
        <v>1.3707258352518181E-2</v>
      </c>
    </row>
    <row r="828" spans="1:15">
      <c r="A828" s="105">
        <v>44693</v>
      </c>
      <c r="B828" s="85">
        <v>103.91</v>
      </c>
      <c r="C828" s="85">
        <v>103.91</v>
      </c>
      <c r="D828" s="85">
        <v>101.11</v>
      </c>
      <c r="E828" s="85">
        <v>102</v>
      </c>
      <c r="F828" s="85">
        <v>508998</v>
      </c>
      <c r="G828" s="112">
        <f t="shared" si="24"/>
        <v>-2.6400704018773036E-3</v>
      </c>
      <c r="I828" s="105">
        <v>44693</v>
      </c>
      <c r="J828" s="85">
        <v>42870.76</v>
      </c>
      <c r="K828" s="85">
        <v>43032.5</v>
      </c>
      <c r="L828" s="85">
        <v>42273.27</v>
      </c>
      <c r="M828" s="85">
        <v>42898.44</v>
      </c>
      <c r="N828" s="123">
        <v>102128708</v>
      </c>
      <c r="O828" s="112">
        <f t="shared" si="25"/>
        <v>8.2331793160328459E-4</v>
      </c>
    </row>
    <row r="829" spans="1:15">
      <c r="A829" s="105">
        <v>44692</v>
      </c>
      <c r="B829" s="85">
        <v>103.99</v>
      </c>
      <c r="C829" s="85">
        <v>103.99</v>
      </c>
      <c r="D829" s="85">
        <v>100.5</v>
      </c>
      <c r="E829" s="85">
        <v>102.27</v>
      </c>
      <c r="F829" s="85">
        <v>1093343</v>
      </c>
      <c r="G829" s="112">
        <f t="shared" si="24"/>
        <v>1.0767423649178376E-3</v>
      </c>
      <c r="I829" s="105">
        <v>44692</v>
      </c>
      <c r="J829" s="85">
        <v>43552.57</v>
      </c>
      <c r="K829" s="85">
        <v>43649.59</v>
      </c>
      <c r="L829" s="85">
        <v>42394.32</v>
      </c>
      <c r="M829" s="85">
        <v>42863.15</v>
      </c>
      <c r="N829" s="123">
        <v>167547345</v>
      </c>
      <c r="O829" s="112">
        <f t="shared" si="25"/>
        <v>-1.4738982483594731E-2</v>
      </c>
    </row>
    <row r="830" spans="1:15">
      <c r="A830" s="105">
        <v>44691</v>
      </c>
      <c r="B830" s="85">
        <v>101.51</v>
      </c>
      <c r="C830" s="85">
        <v>105.97</v>
      </c>
      <c r="D830" s="85">
        <v>101.51</v>
      </c>
      <c r="E830" s="85">
        <v>102.16</v>
      </c>
      <c r="F830" s="85">
        <v>288350</v>
      </c>
      <c r="G830" s="112">
        <f t="shared" si="24"/>
        <v>-7.3843762145355818E-3</v>
      </c>
      <c r="I830" s="105">
        <v>44691</v>
      </c>
      <c r="J830" s="85">
        <v>43473.68</v>
      </c>
      <c r="K830" s="85">
        <v>43647.55</v>
      </c>
      <c r="L830" s="85">
        <v>43261.98</v>
      </c>
      <c r="M830" s="85">
        <v>43504.36</v>
      </c>
      <c r="N830" s="123">
        <v>114408887</v>
      </c>
      <c r="O830" s="112">
        <f t="shared" si="25"/>
        <v>2.5630779427348038E-3</v>
      </c>
    </row>
    <row r="831" spans="1:15">
      <c r="A831" s="105">
        <v>44690</v>
      </c>
      <c r="B831" s="85">
        <v>108</v>
      </c>
      <c r="C831" s="85">
        <v>108</v>
      </c>
      <c r="D831" s="85">
        <v>102.5</v>
      </c>
      <c r="E831" s="85">
        <v>102.92</v>
      </c>
      <c r="F831" s="85">
        <v>1731876</v>
      </c>
      <c r="G831" s="112">
        <f t="shared" si="24"/>
        <v>-3.840044847239088E-2</v>
      </c>
      <c r="I831" s="105">
        <v>44690</v>
      </c>
      <c r="J831" s="85">
        <v>44838.89</v>
      </c>
      <c r="K831" s="85">
        <v>44838.89</v>
      </c>
      <c r="L831" s="85">
        <v>43233.21</v>
      </c>
      <c r="M831" s="85">
        <v>43393.14</v>
      </c>
      <c r="N831" s="123">
        <v>170735940</v>
      </c>
      <c r="O831" s="112">
        <f t="shared" si="25"/>
        <v>-3.2284653198726754E-2</v>
      </c>
    </row>
    <row r="832" spans="1:15">
      <c r="A832" s="105">
        <v>44687</v>
      </c>
      <c r="B832" s="85">
        <v>109.97</v>
      </c>
      <c r="C832" s="85">
        <v>109.97</v>
      </c>
      <c r="D832" s="85">
        <v>106.16</v>
      </c>
      <c r="E832" s="85">
        <v>107.03</v>
      </c>
      <c r="F832" s="85">
        <v>314657</v>
      </c>
      <c r="G832" s="112">
        <f t="shared" si="24"/>
        <v>-1.6720257234726588E-2</v>
      </c>
      <c r="I832" s="105">
        <v>44687</v>
      </c>
      <c r="J832" s="85">
        <v>45185.08</v>
      </c>
      <c r="K832" s="85">
        <v>45192.88</v>
      </c>
      <c r="L832" s="85">
        <v>44784.42</v>
      </c>
      <c r="M832" s="85">
        <v>44840.81</v>
      </c>
      <c r="N832" s="123">
        <v>87692668</v>
      </c>
      <c r="O832" s="112">
        <f t="shared" si="25"/>
        <v>-9.0299519927443672E-3</v>
      </c>
    </row>
    <row r="833" spans="1:15">
      <c r="A833" s="105">
        <v>44679</v>
      </c>
      <c r="B833" s="85">
        <v>111.5</v>
      </c>
      <c r="C833" s="85">
        <v>111.5</v>
      </c>
      <c r="D833" s="85">
        <v>108</v>
      </c>
      <c r="E833" s="85">
        <v>108.85</v>
      </c>
      <c r="F833" s="85">
        <v>1643917</v>
      </c>
      <c r="G833" s="112">
        <f t="shared" si="24"/>
        <v>-8.0196846805796751E-3</v>
      </c>
      <c r="I833" s="105">
        <v>44679</v>
      </c>
      <c r="J833" s="85">
        <v>45451.19</v>
      </c>
      <c r="K833" s="85">
        <v>45467.05</v>
      </c>
      <c r="L833" s="85">
        <v>44648.480000000003</v>
      </c>
      <c r="M833" s="85">
        <v>45249.41</v>
      </c>
      <c r="N833" s="123">
        <v>155366019</v>
      </c>
      <c r="O833" s="112">
        <f t="shared" si="25"/>
        <v>-6.2347776242881459E-3</v>
      </c>
    </row>
    <row r="834" spans="1:15">
      <c r="A834" s="105">
        <v>44678</v>
      </c>
      <c r="B834" s="85">
        <v>111.45</v>
      </c>
      <c r="C834" s="85">
        <v>111.5</v>
      </c>
      <c r="D834" s="85">
        <v>109</v>
      </c>
      <c r="E834" s="85">
        <v>109.73</v>
      </c>
      <c r="F834" s="85">
        <v>633532</v>
      </c>
      <c r="G834" s="112">
        <f t="shared" si="24"/>
        <v>-1.8427408533858158E-2</v>
      </c>
      <c r="I834" s="105">
        <v>44678</v>
      </c>
      <c r="J834" s="85">
        <v>45894.95</v>
      </c>
      <c r="K834" s="85">
        <v>45958.37</v>
      </c>
      <c r="L834" s="85">
        <v>45482.5</v>
      </c>
      <c r="M834" s="85">
        <v>45533.3</v>
      </c>
      <c r="N834" s="123">
        <v>122986700</v>
      </c>
      <c r="O834" s="112">
        <f t="shared" si="25"/>
        <v>-6.2065574264250634E-3</v>
      </c>
    </row>
    <row r="835" spans="1:15">
      <c r="A835" s="105">
        <v>44677</v>
      </c>
      <c r="B835" s="85">
        <v>113.49</v>
      </c>
      <c r="C835" s="85">
        <v>113.49</v>
      </c>
      <c r="D835" s="85">
        <v>111.5</v>
      </c>
      <c r="E835" s="85">
        <v>111.79</v>
      </c>
      <c r="F835" s="85">
        <v>913201</v>
      </c>
      <c r="G835" s="112">
        <f t="shared" si="24"/>
        <v>-4.6300418484551686E-3</v>
      </c>
      <c r="I835" s="105">
        <v>44677</v>
      </c>
      <c r="J835" s="85">
        <v>46117.35</v>
      </c>
      <c r="K835" s="85">
        <v>46185.47</v>
      </c>
      <c r="L835" s="85">
        <v>45779.5</v>
      </c>
      <c r="M835" s="85">
        <v>45817.67</v>
      </c>
      <c r="N835" s="123">
        <v>93619994</v>
      </c>
      <c r="O835" s="112">
        <f t="shared" si="25"/>
        <v>-5.547253558192744E-3</v>
      </c>
    </row>
    <row r="836" spans="1:15">
      <c r="A836" s="105">
        <v>44676</v>
      </c>
      <c r="B836" s="85">
        <v>111.52</v>
      </c>
      <c r="C836" s="85">
        <v>113</v>
      </c>
      <c r="D836" s="85">
        <v>111.52</v>
      </c>
      <c r="E836" s="85">
        <v>112.31</v>
      </c>
      <c r="F836" s="85">
        <v>430122</v>
      </c>
      <c r="G836" s="112">
        <f t="shared" ref="G836:G899" si="26">E836/E837-1</f>
        <v>8.9839187853741898E-3</v>
      </c>
      <c r="I836" s="105">
        <v>44676</v>
      </c>
      <c r="J836" s="85">
        <v>45812.38</v>
      </c>
      <c r="K836" s="85">
        <v>46203.59</v>
      </c>
      <c r="L836" s="85">
        <v>45812.38</v>
      </c>
      <c r="M836" s="85">
        <v>46073.25</v>
      </c>
      <c r="N836" s="123">
        <v>118702496</v>
      </c>
      <c r="O836" s="112">
        <f t="shared" ref="O836:O899" si="27">M836/M837-1</f>
        <v>1.1420318565048104E-2</v>
      </c>
    </row>
    <row r="837" spans="1:15">
      <c r="A837" s="105">
        <v>44673</v>
      </c>
      <c r="B837" s="85">
        <v>112</v>
      </c>
      <c r="C837" s="85">
        <v>112</v>
      </c>
      <c r="D837" s="85">
        <v>110.57</v>
      </c>
      <c r="E837" s="85">
        <v>111.31</v>
      </c>
      <c r="F837" s="85">
        <v>430165</v>
      </c>
      <c r="G837" s="112">
        <f t="shared" si="26"/>
        <v>-8.9831117499050706E-5</v>
      </c>
      <c r="I837" s="105">
        <v>44673</v>
      </c>
      <c r="J837" s="85">
        <v>45764.34</v>
      </c>
      <c r="K837" s="85">
        <v>45776.23</v>
      </c>
      <c r="L837" s="85">
        <v>45500.85</v>
      </c>
      <c r="M837" s="85">
        <v>45553.02</v>
      </c>
      <c r="N837" s="123">
        <v>89520669</v>
      </c>
      <c r="O837" s="112">
        <f t="shared" si="27"/>
        <v>-2.1816929674574048E-3</v>
      </c>
    </row>
    <row r="838" spans="1:15">
      <c r="A838" s="105">
        <v>44672</v>
      </c>
      <c r="B838" s="85">
        <v>111.5</v>
      </c>
      <c r="C838" s="85">
        <v>112.87</v>
      </c>
      <c r="D838" s="85">
        <v>110.71</v>
      </c>
      <c r="E838" s="85">
        <v>111.32</v>
      </c>
      <c r="F838" s="85">
        <v>768991</v>
      </c>
      <c r="G838" s="112">
        <f t="shared" si="26"/>
        <v>2.3410768953717742E-3</v>
      </c>
      <c r="I838" s="105">
        <v>44672</v>
      </c>
      <c r="J838" s="85">
        <v>45953.79</v>
      </c>
      <c r="K838" s="85">
        <v>46067.18</v>
      </c>
      <c r="L838" s="85">
        <v>45598.45</v>
      </c>
      <c r="M838" s="85">
        <v>45652.62</v>
      </c>
      <c r="N838" s="123">
        <v>98247520</v>
      </c>
      <c r="O838" s="112">
        <f t="shared" si="27"/>
        <v>-6.3239010986618771E-3</v>
      </c>
    </row>
    <row r="839" spans="1:15">
      <c r="A839" s="105">
        <v>44671</v>
      </c>
      <c r="B839" s="85">
        <v>115.07</v>
      </c>
      <c r="C839" s="85">
        <v>115.9</v>
      </c>
      <c r="D839" s="85">
        <v>110</v>
      </c>
      <c r="E839" s="85">
        <v>111.06</v>
      </c>
      <c r="F839" s="85">
        <v>982556</v>
      </c>
      <c r="G839" s="112">
        <f t="shared" si="26"/>
        <v>-3.3840800347977429E-2</v>
      </c>
      <c r="I839" s="105">
        <v>44671</v>
      </c>
      <c r="J839" s="85">
        <v>46482.51</v>
      </c>
      <c r="K839" s="85">
        <v>46586.06</v>
      </c>
      <c r="L839" s="85">
        <v>45891.14</v>
      </c>
      <c r="M839" s="85">
        <v>45943.16</v>
      </c>
      <c r="N839" s="123">
        <v>111648823</v>
      </c>
      <c r="O839" s="112">
        <f t="shared" si="27"/>
        <v>-8.4215778868615976E-3</v>
      </c>
    </row>
    <row r="840" spans="1:15">
      <c r="A840" s="105">
        <v>44670</v>
      </c>
      <c r="B840" s="85">
        <v>115.1</v>
      </c>
      <c r="C840" s="85">
        <v>116.32</v>
      </c>
      <c r="D840" s="85">
        <v>114.5</v>
      </c>
      <c r="E840" s="85">
        <v>114.95</v>
      </c>
      <c r="F840" s="85">
        <v>687019</v>
      </c>
      <c r="G840" s="112">
        <f t="shared" si="26"/>
        <v>-5.1925573344872022E-3</v>
      </c>
      <c r="I840" s="105">
        <v>44670</v>
      </c>
      <c r="J840" s="85">
        <v>46667.040000000001</v>
      </c>
      <c r="K840" s="85">
        <v>46746.27</v>
      </c>
      <c r="L840" s="85">
        <v>46270.13</v>
      </c>
      <c r="M840" s="85">
        <v>46333.36</v>
      </c>
      <c r="N840" s="123">
        <v>114626425</v>
      </c>
      <c r="O840" s="112">
        <f t="shared" si="27"/>
        <v>-4.4312809803437325E-3</v>
      </c>
    </row>
    <row r="841" spans="1:15">
      <c r="A841" s="105">
        <v>44669</v>
      </c>
      <c r="B841" s="85">
        <v>116.89</v>
      </c>
      <c r="C841" s="85">
        <v>116.89</v>
      </c>
      <c r="D841" s="85">
        <v>115</v>
      </c>
      <c r="E841" s="85">
        <v>115.55</v>
      </c>
      <c r="F841" s="85">
        <v>1195300</v>
      </c>
      <c r="G841" s="112">
        <f t="shared" si="26"/>
        <v>-6.0215053763441606E-3</v>
      </c>
      <c r="I841" s="105">
        <v>44669</v>
      </c>
      <c r="J841" s="85">
        <v>46553.85</v>
      </c>
      <c r="K841" s="85">
        <v>46970.04</v>
      </c>
      <c r="L841" s="85">
        <v>46418.76</v>
      </c>
      <c r="M841" s="85">
        <v>46539.59</v>
      </c>
      <c r="N841" s="123">
        <v>118978198</v>
      </c>
      <c r="O841" s="112">
        <f t="shared" si="27"/>
        <v>-1.329355210149763E-3</v>
      </c>
    </row>
    <row r="842" spans="1:15">
      <c r="A842" s="105">
        <v>44666</v>
      </c>
      <c r="B842" s="85">
        <v>116.3</v>
      </c>
      <c r="C842" s="85">
        <v>116.44</v>
      </c>
      <c r="D842" s="85">
        <v>115.65</v>
      </c>
      <c r="E842" s="85">
        <v>116.25</v>
      </c>
      <c r="F842" s="85">
        <v>191033</v>
      </c>
      <c r="G842" s="112">
        <f t="shared" si="26"/>
        <v>1.7233950883239757E-3</v>
      </c>
      <c r="I842" s="105">
        <v>44666</v>
      </c>
      <c r="J842" s="85">
        <v>46650.559999999998</v>
      </c>
      <c r="K842" s="85">
        <v>46785.59</v>
      </c>
      <c r="L842" s="85">
        <v>46533.48</v>
      </c>
      <c r="M842" s="85">
        <v>46601.54</v>
      </c>
      <c r="N842" s="123">
        <v>168214442</v>
      </c>
      <c r="O842" s="112">
        <f t="shared" si="27"/>
        <v>2.5193381956065686E-3</v>
      </c>
    </row>
    <row r="843" spans="1:15">
      <c r="A843" s="105">
        <v>44665</v>
      </c>
      <c r="B843" s="85">
        <v>116.2</v>
      </c>
      <c r="C843" s="85">
        <v>116.8</v>
      </c>
      <c r="D843" s="85">
        <v>115.61</v>
      </c>
      <c r="E843" s="85">
        <v>116.05</v>
      </c>
      <c r="F843" s="85">
        <v>1093663</v>
      </c>
      <c r="G843" s="112">
        <f t="shared" si="26"/>
        <v>-5.1675135647233361E-4</v>
      </c>
      <c r="I843" s="105">
        <v>44665</v>
      </c>
      <c r="J843" s="85">
        <v>46188.36</v>
      </c>
      <c r="K843" s="85">
        <v>46510.11</v>
      </c>
      <c r="L843" s="85">
        <v>46053.66</v>
      </c>
      <c r="M843" s="85">
        <v>46484.43</v>
      </c>
      <c r="N843" s="123">
        <v>211501391</v>
      </c>
      <c r="O843" s="112">
        <f t="shared" si="27"/>
        <v>6.9084056275789951E-3</v>
      </c>
    </row>
    <row r="844" spans="1:15">
      <c r="A844" s="105">
        <v>44664</v>
      </c>
      <c r="B844" s="85">
        <v>116.36</v>
      </c>
      <c r="C844" s="85">
        <v>116.99</v>
      </c>
      <c r="D844" s="85">
        <v>115.6</v>
      </c>
      <c r="E844" s="85">
        <v>116.11</v>
      </c>
      <c r="F844" s="85">
        <v>645792</v>
      </c>
      <c r="G844" s="112">
        <f t="shared" si="26"/>
        <v>-2.1485046407699881E-3</v>
      </c>
      <c r="I844" s="105">
        <v>44664</v>
      </c>
      <c r="J844" s="85">
        <v>46344.5</v>
      </c>
      <c r="K844" s="85">
        <v>46643.05</v>
      </c>
      <c r="L844" s="85">
        <v>46061.58</v>
      </c>
      <c r="M844" s="85">
        <v>46165.5</v>
      </c>
      <c r="N844" s="123">
        <v>146432942</v>
      </c>
      <c r="O844" s="112">
        <f t="shared" si="27"/>
        <v>-5.2095297158246678E-3</v>
      </c>
    </row>
    <row r="845" spans="1:15">
      <c r="A845" s="105">
        <v>44663</v>
      </c>
      <c r="B845" s="85">
        <v>116</v>
      </c>
      <c r="C845" s="85">
        <v>119</v>
      </c>
      <c r="D845" s="85">
        <v>115.72</v>
      </c>
      <c r="E845" s="85">
        <v>116.36</v>
      </c>
      <c r="F845" s="85">
        <v>703976</v>
      </c>
      <c r="G845" s="112">
        <f t="shared" si="26"/>
        <v>5.5305910819218873E-3</v>
      </c>
      <c r="I845" s="105">
        <v>44663</v>
      </c>
      <c r="J845" s="85">
        <v>46267.39</v>
      </c>
      <c r="K845" s="85">
        <v>46459.26</v>
      </c>
      <c r="L845" s="85">
        <v>45895.25</v>
      </c>
      <c r="M845" s="85">
        <v>46407.26</v>
      </c>
      <c r="N845" s="123">
        <v>186748092</v>
      </c>
      <c r="O845" s="112">
        <f t="shared" si="27"/>
        <v>5.6842610763994106E-3</v>
      </c>
    </row>
    <row r="846" spans="1:15">
      <c r="A846" s="105">
        <v>44662</v>
      </c>
      <c r="B846" s="85">
        <v>113.8</v>
      </c>
      <c r="C846" s="85">
        <v>118</v>
      </c>
      <c r="D846" s="85">
        <v>112.1</v>
      </c>
      <c r="E846" s="85">
        <v>115.72</v>
      </c>
      <c r="F846" s="85">
        <v>2207391</v>
      </c>
      <c r="G846" s="112">
        <f t="shared" si="26"/>
        <v>3.7475345167652829E-2</v>
      </c>
      <c r="I846" s="105">
        <v>44662</v>
      </c>
      <c r="J846" s="85">
        <v>45421.52</v>
      </c>
      <c r="K846" s="85">
        <v>46215.54</v>
      </c>
      <c r="L846" s="85">
        <v>45421.52</v>
      </c>
      <c r="M846" s="85">
        <v>46144.959999999999</v>
      </c>
      <c r="N846" s="123">
        <v>228857846</v>
      </c>
      <c r="O846" s="112">
        <f t="shared" si="27"/>
        <v>3.8258433311778361E-2</v>
      </c>
    </row>
    <row r="847" spans="1:15">
      <c r="A847" s="105">
        <v>44659</v>
      </c>
      <c r="B847" s="85">
        <v>110.99</v>
      </c>
      <c r="C847" s="85">
        <v>112.3</v>
      </c>
      <c r="D847" s="85">
        <v>110.56</v>
      </c>
      <c r="E847" s="85">
        <v>111.54</v>
      </c>
      <c r="F847" s="85">
        <v>990236</v>
      </c>
      <c r="G847" s="112">
        <f t="shared" si="26"/>
        <v>2.3021186829313089E-2</v>
      </c>
      <c r="I847" s="105">
        <v>44659</v>
      </c>
      <c r="J847" s="85">
        <v>43887.75</v>
      </c>
      <c r="K847" s="85">
        <v>44507.62</v>
      </c>
      <c r="L847" s="85">
        <v>43887.75</v>
      </c>
      <c r="M847" s="85">
        <v>44444.58</v>
      </c>
      <c r="N847" s="123">
        <v>93983890</v>
      </c>
      <c r="O847" s="112">
        <f t="shared" si="27"/>
        <v>1.5021640068486386E-2</v>
      </c>
    </row>
    <row r="848" spans="1:15">
      <c r="A848" s="105">
        <v>44658</v>
      </c>
      <c r="B848" s="85">
        <v>109.82</v>
      </c>
      <c r="C848" s="85">
        <v>110.74</v>
      </c>
      <c r="D848" s="85">
        <v>108.9</v>
      </c>
      <c r="E848" s="85">
        <v>109.03</v>
      </c>
      <c r="F848" s="85">
        <v>369037</v>
      </c>
      <c r="G848" s="112">
        <f t="shared" si="26"/>
        <v>-7.0127504553734177E-3</v>
      </c>
      <c r="I848" s="105">
        <v>44658</v>
      </c>
      <c r="J848" s="85">
        <v>44167.89</v>
      </c>
      <c r="K848" s="85">
        <v>44349.86</v>
      </c>
      <c r="L848" s="85">
        <v>43749.82</v>
      </c>
      <c r="M848" s="85">
        <v>43786.83</v>
      </c>
      <c r="N848" s="123">
        <v>69388653</v>
      </c>
      <c r="O848" s="112">
        <f t="shared" si="27"/>
        <v>-7.3512109197003683E-3</v>
      </c>
    </row>
    <row r="849" spans="1:15">
      <c r="A849" s="105">
        <v>44657</v>
      </c>
      <c r="B849" s="85">
        <v>109.56</v>
      </c>
      <c r="C849" s="85">
        <v>110.87</v>
      </c>
      <c r="D849" s="85">
        <v>109.5</v>
      </c>
      <c r="E849" s="85">
        <v>109.8</v>
      </c>
      <c r="F849" s="85">
        <v>848481</v>
      </c>
      <c r="G849" s="112">
        <f t="shared" si="26"/>
        <v>2.1905805038333614E-3</v>
      </c>
      <c r="I849" s="105">
        <v>44657</v>
      </c>
      <c r="J849" s="85">
        <v>43943.21</v>
      </c>
      <c r="K849" s="85">
        <v>44377.919999999998</v>
      </c>
      <c r="L849" s="85">
        <v>43943.21</v>
      </c>
      <c r="M849" s="85">
        <v>44111.1</v>
      </c>
      <c r="N849" s="123">
        <v>47006666</v>
      </c>
      <c r="O849" s="112">
        <f t="shared" si="27"/>
        <v>4.1663555520750073E-3</v>
      </c>
    </row>
    <row r="850" spans="1:15">
      <c r="A850" s="105">
        <v>44656</v>
      </c>
      <c r="B850" s="85">
        <v>109.51</v>
      </c>
      <c r="C850" s="85">
        <v>110.7</v>
      </c>
      <c r="D850" s="85">
        <v>109.02</v>
      </c>
      <c r="E850" s="85">
        <v>109.56</v>
      </c>
      <c r="F850" s="85">
        <v>477499</v>
      </c>
      <c r="G850" s="112">
        <f t="shared" si="26"/>
        <v>1.8288222384783559E-3</v>
      </c>
      <c r="I850" s="105">
        <v>44656</v>
      </c>
      <c r="J850" s="85">
        <v>43870.69</v>
      </c>
      <c r="K850" s="85">
        <v>44289.83</v>
      </c>
      <c r="L850" s="85">
        <v>43782.26</v>
      </c>
      <c r="M850" s="85">
        <v>43928.08</v>
      </c>
      <c r="N850" s="123">
        <v>52688446</v>
      </c>
      <c r="O850" s="112">
        <f t="shared" si="27"/>
        <v>5.9313872430521997E-4</v>
      </c>
    </row>
    <row r="851" spans="1:15">
      <c r="A851" s="105">
        <v>44655</v>
      </c>
      <c r="B851" s="85">
        <v>112.01</v>
      </c>
      <c r="C851" s="85">
        <v>113</v>
      </c>
      <c r="D851" s="85">
        <v>108.99</v>
      </c>
      <c r="E851" s="85">
        <v>109.36</v>
      </c>
      <c r="F851" s="85">
        <v>720783</v>
      </c>
      <c r="G851" s="112">
        <f t="shared" si="26"/>
        <v>-3.994381529277502E-2</v>
      </c>
      <c r="I851" s="105">
        <v>44655</v>
      </c>
      <c r="J851" s="85">
        <v>44389.38</v>
      </c>
      <c r="K851" s="85">
        <v>44433.23</v>
      </c>
      <c r="L851" s="85">
        <v>43824.08</v>
      </c>
      <c r="M851" s="85">
        <v>43902.04</v>
      </c>
      <c r="N851" s="123">
        <v>75843923</v>
      </c>
      <c r="O851" s="112">
        <f t="shared" si="27"/>
        <v>-2.7685749348147826E-2</v>
      </c>
    </row>
    <row r="852" spans="1:15">
      <c r="A852" s="105">
        <v>44652</v>
      </c>
      <c r="B852" s="85">
        <v>112.6</v>
      </c>
      <c r="C852" s="85">
        <v>114.5</v>
      </c>
      <c r="D852" s="85">
        <v>111.9</v>
      </c>
      <c r="E852" s="85">
        <v>113.91</v>
      </c>
      <c r="F852" s="85">
        <v>1802294</v>
      </c>
      <c r="G852" s="112">
        <f t="shared" si="26"/>
        <v>8.8566114604551327E-3</v>
      </c>
      <c r="I852" s="105">
        <v>44652</v>
      </c>
      <c r="J852" s="85">
        <v>44908.94</v>
      </c>
      <c r="K852" s="85">
        <v>45396.14</v>
      </c>
      <c r="L852" s="85">
        <v>44654.95</v>
      </c>
      <c r="M852" s="85">
        <v>45152.11</v>
      </c>
      <c r="N852" s="123">
        <v>126507431</v>
      </c>
      <c r="O852" s="112">
        <f t="shared" si="27"/>
        <v>4.9696375356313993E-3</v>
      </c>
    </row>
    <row r="853" spans="1:15">
      <c r="A853" s="105">
        <v>44651</v>
      </c>
      <c r="B853" s="85">
        <v>113.99</v>
      </c>
      <c r="C853" s="85">
        <v>114</v>
      </c>
      <c r="D853" s="85">
        <v>112.6</v>
      </c>
      <c r="E853" s="85">
        <v>112.91</v>
      </c>
      <c r="F853" s="85">
        <v>734793</v>
      </c>
      <c r="G853" s="112">
        <f t="shared" si="26"/>
        <v>-6.3363548358708055E-3</v>
      </c>
      <c r="I853" s="105">
        <v>44651</v>
      </c>
      <c r="J853" s="85">
        <v>44374.239999999998</v>
      </c>
      <c r="K853" s="85">
        <v>44928.83</v>
      </c>
      <c r="L853" s="85">
        <v>44352.53</v>
      </c>
      <c r="M853" s="85">
        <v>44928.83</v>
      </c>
      <c r="N853" s="123">
        <v>165238744</v>
      </c>
      <c r="O853" s="112">
        <f t="shared" si="27"/>
        <v>1.333564589481262E-2</v>
      </c>
    </row>
    <row r="854" spans="1:15">
      <c r="A854" s="105">
        <v>44650</v>
      </c>
      <c r="B854" s="85">
        <v>113.98</v>
      </c>
      <c r="C854" s="85">
        <v>114.5</v>
      </c>
      <c r="D854" s="85">
        <v>113</v>
      </c>
      <c r="E854" s="85">
        <v>113.63</v>
      </c>
      <c r="F854" s="85">
        <v>100466</v>
      </c>
      <c r="G854" s="112">
        <f t="shared" si="26"/>
        <v>3.1782466672551912E-3</v>
      </c>
      <c r="I854" s="105">
        <v>44650</v>
      </c>
      <c r="J854" s="85">
        <v>44363.62</v>
      </c>
      <c r="K854" s="85">
        <v>44444.98</v>
      </c>
      <c r="L854" s="85">
        <v>43975.67</v>
      </c>
      <c r="M854" s="85">
        <v>44337.56</v>
      </c>
      <c r="N854" s="123">
        <v>115692134</v>
      </c>
      <c r="O854" s="112">
        <f t="shared" si="27"/>
        <v>-2.2759441657833612E-3</v>
      </c>
    </row>
    <row r="855" spans="1:15">
      <c r="A855" s="105">
        <v>44649</v>
      </c>
      <c r="B855" s="85">
        <v>114.4</v>
      </c>
      <c r="C855" s="85">
        <v>115</v>
      </c>
      <c r="D855" s="85">
        <v>113.11</v>
      </c>
      <c r="E855" s="85">
        <v>113.27</v>
      </c>
      <c r="F855" s="85">
        <v>749914</v>
      </c>
      <c r="G855" s="112">
        <f t="shared" si="26"/>
        <v>-3.7818821459982832E-3</v>
      </c>
      <c r="I855" s="105">
        <v>44649</v>
      </c>
      <c r="J855" s="85">
        <v>44089.81</v>
      </c>
      <c r="K855" s="85">
        <v>44478.58</v>
      </c>
      <c r="L855" s="85">
        <v>44089.81</v>
      </c>
      <c r="M855" s="85">
        <v>44438.7</v>
      </c>
      <c r="N855" s="123">
        <v>105008730</v>
      </c>
      <c r="O855" s="112">
        <f t="shared" si="27"/>
        <v>1.1497816247989068E-2</v>
      </c>
    </row>
    <row r="856" spans="1:15">
      <c r="A856" s="105">
        <v>44648</v>
      </c>
      <c r="B856" s="85">
        <v>113.69</v>
      </c>
      <c r="C856" s="85">
        <v>114.38</v>
      </c>
      <c r="D856" s="85">
        <v>111</v>
      </c>
      <c r="E856" s="85">
        <v>113.7</v>
      </c>
      <c r="F856" s="85">
        <v>378809</v>
      </c>
      <c r="G856" s="112">
        <f t="shared" si="26"/>
        <v>1.673861333803206E-3</v>
      </c>
      <c r="I856" s="105">
        <v>44648</v>
      </c>
      <c r="J856" s="85">
        <v>43570.53</v>
      </c>
      <c r="K856" s="85">
        <v>43933.56</v>
      </c>
      <c r="L856" s="85">
        <v>43291.01</v>
      </c>
      <c r="M856" s="85">
        <v>43933.56</v>
      </c>
      <c r="N856" s="123">
        <v>59114034</v>
      </c>
      <c r="O856" s="112">
        <f t="shared" si="27"/>
        <v>8.7809412107238138E-3</v>
      </c>
    </row>
    <row r="857" spans="1:15">
      <c r="A857" s="105">
        <v>44645</v>
      </c>
      <c r="B857" s="85">
        <v>112.84</v>
      </c>
      <c r="C857" s="85">
        <v>114</v>
      </c>
      <c r="D857" s="85">
        <v>110.55</v>
      </c>
      <c r="E857" s="85">
        <v>113.51</v>
      </c>
      <c r="F857" s="85">
        <v>523841</v>
      </c>
      <c r="G857" s="112">
        <f t="shared" si="26"/>
        <v>1.366315413466701E-2</v>
      </c>
      <c r="I857" s="105">
        <v>44645</v>
      </c>
      <c r="J857" s="85">
        <v>43533.17</v>
      </c>
      <c r="K857" s="85">
        <v>43686.35</v>
      </c>
      <c r="L857" s="85">
        <v>43375.38</v>
      </c>
      <c r="M857" s="85">
        <v>43551.14</v>
      </c>
      <c r="N857" s="123">
        <v>68444429</v>
      </c>
      <c r="O857" s="112">
        <f t="shared" si="27"/>
        <v>6.5690084795111403E-4</v>
      </c>
    </row>
    <row r="858" spans="1:15">
      <c r="A858" s="105">
        <v>44644</v>
      </c>
      <c r="B858" s="85">
        <v>110.68</v>
      </c>
      <c r="C858" s="85">
        <v>112.39</v>
      </c>
      <c r="D858" s="85">
        <v>109.52</v>
      </c>
      <c r="E858" s="85">
        <v>111.98</v>
      </c>
      <c r="F858" s="85">
        <v>893817</v>
      </c>
      <c r="G858" s="112">
        <f t="shared" si="26"/>
        <v>1.7537482962289852E-2</v>
      </c>
      <c r="I858" s="105">
        <v>44644</v>
      </c>
      <c r="J858" s="85">
        <v>43269.48</v>
      </c>
      <c r="K858" s="85">
        <v>43569.67</v>
      </c>
      <c r="L858" s="85">
        <v>42936.06</v>
      </c>
      <c r="M858" s="85">
        <v>43522.55</v>
      </c>
      <c r="N858" s="123">
        <v>64533325</v>
      </c>
      <c r="O858" s="112">
        <f t="shared" si="27"/>
        <v>7.3780564158838491E-3</v>
      </c>
    </row>
    <row r="859" spans="1:15">
      <c r="A859" s="105">
        <v>44642</v>
      </c>
      <c r="B859" s="85">
        <v>111.34</v>
      </c>
      <c r="C859" s="85">
        <v>111.89</v>
      </c>
      <c r="D859" s="85">
        <v>109.5</v>
      </c>
      <c r="E859" s="85">
        <v>110.05</v>
      </c>
      <c r="F859" s="85">
        <v>669559</v>
      </c>
      <c r="G859" s="112">
        <f t="shared" si="26"/>
        <v>-5.0628333785371904E-3</v>
      </c>
      <c r="I859" s="105">
        <v>44642</v>
      </c>
      <c r="J859" s="85">
        <v>43293.87</v>
      </c>
      <c r="K859" s="85">
        <v>43400.61</v>
      </c>
      <c r="L859" s="85">
        <v>43164.2</v>
      </c>
      <c r="M859" s="85">
        <v>43203.79</v>
      </c>
      <c r="N859" s="123">
        <v>53938791</v>
      </c>
      <c r="O859" s="112">
        <f t="shared" si="27"/>
        <v>-6.1137787408904742E-4</v>
      </c>
    </row>
    <row r="860" spans="1:15">
      <c r="A860" s="105">
        <v>44641</v>
      </c>
      <c r="B860" s="85">
        <v>109.5</v>
      </c>
      <c r="C860" s="85">
        <v>111</v>
      </c>
      <c r="D860" s="85">
        <v>108.39</v>
      </c>
      <c r="E860" s="85">
        <v>110.61</v>
      </c>
      <c r="F860" s="85">
        <v>841768</v>
      </c>
      <c r="G860" s="112">
        <f t="shared" si="26"/>
        <v>-2.7114967462038564E-4</v>
      </c>
      <c r="I860" s="105">
        <v>44641</v>
      </c>
      <c r="J860" s="85">
        <v>43122.18</v>
      </c>
      <c r="K860" s="85">
        <v>43388.18</v>
      </c>
      <c r="L860" s="85">
        <v>43122.18</v>
      </c>
      <c r="M860" s="85">
        <v>43230.22</v>
      </c>
      <c r="N860" s="123">
        <v>48062818</v>
      </c>
      <c r="O860" s="112">
        <f t="shared" si="27"/>
        <v>4.653733200371768E-3</v>
      </c>
    </row>
    <row r="861" spans="1:15">
      <c r="A861" s="105">
        <v>44638</v>
      </c>
      <c r="B861" s="85">
        <v>113.95</v>
      </c>
      <c r="C861" s="85">
        <v>114.45</v>
      </c>
      <c r="D861" s="85">
        <v>110</v>
      </c>
      <c r="E861" s="85">
        <v>110.64</v>
      </c>
      <c r="F861" s="85">
        <v>1285603</v>
      </c>
      <c r="G861" s="112">
        <f t="shared" si="26"/>
        <v>-3.1173380035026343E-2</v>
      </c>
      <c r="I861" s="105">
        <v>44638</v>
      </c>
      <c r="J861" s="85">
        <v>43565.01</v>
      </c>
      <c r="K861" s="85">
        <v>43565.01</v>
      </c>
      <c r="L861" s="85">
        <v>42987.86</v>
      </c>
      <c r="M861" s="85">
        <v>43029.97</v>
      </c>
      <c r="N861" s="123">
        <v>92329899</v>
      </c>
      <c r="O861" s="112">
        <f t="shared" si="27"/>
        <v>-1.7742733334200844E-2</v>
      </c>
    </row>
    <row r="862" spans="1:15">
      <c r="A862" s="105">
        <v>44637</v>
      </c>
      <c r="B862" s="85">
        <v>114.49</v>
      </c>
      <c r="C862" s="85">
        <v>114.85</v>
      </c>
      <c r="D862" s="85">
        <v>114</v>
      </c>
      <c r="E862" s="85">
        <v>114.2</v>
      </c>
      <c r="F862" s="85">
        <v>767312</v>
      </c>
      <c r="G862" s="112">
        <f t="shared" si="26"/>
        <v>2.6338893766462146E-3</v>
      </c>
      <c r="I862" s="105">
        <v>44637</v>
      </c>
      <c r="J862" s="85">
        <v>44004.38</v>
      </c>
      <c r="K862" s="85">
        <v>44194.26</v>
      </c>
      <c r="L862" s="85">
        <v>43796.65</v>
      </c>
      <c r="M862" s="85">
        <v>43807.23</v>
      </c>
      <c r="N862" s="123">
        <v>46620425</v>
      </c>
      <c r="O862" s="112">
        <f t="shared" si="27"/>
        <v>-3.8307528545884484E-3</v>
      </c>
    </row>
    <row r="863" spans="1:15">
      <c r="A863" s="105">
        <v>44636</v>
      </c>
      <c r="B863" s="85">
        <v>115</v>
      </c>
      <c r="C863" s="85">
        <v>115.9</v>
      </c>
      <c r="D863" s="85">
        <v>113.5</v>
      </c>
      <c r="E863" s="85">
        <v>113.9</v>
      </c>
      <c r="F863" s="85">
        <v>280721</v>
      </c>
      <c r="G863" s="112">
        <f t="shared" si="26"/>
        <v>-9.737436967483859E-3</v>
      </c>
      <c r="I863" s="105">
        <v>44636</v>
      </c>
      <c r="J863" s="85">
        <v>43804.62</v>
      </c>
      <c r="K863" s="85">
        <v>44283.88</v>
      </c>
      <c r="L863" s="85">
        <v>43804.62</v>
      </c>
      <c r="M863" s="85">
        <v>43975.69</v>
      </c>
      <c r="N863" s="123">
        <v>77395255</v>
      </c>
      <c r="O863" s="112">
        <f t="shared" si="27"/>
        <v>5.8524943606812485E-3</v>
      </c>
    </row>
    <row r="864" spans="1:15">
      <c r="A864" s="105">
        <v>44635</v>
      </c>
      <c r="B864" s="85">
        <v>114.11</v>
      </c>
      <c r="C864" s="85">
        <v>115.5</v>
      </c>
      <c r="D864" s="85">
        <v>114.03</v>
      </c>
      <c r="E864" s="85">
        <v>115.02</v>
      </c>
      <c r="F864" s="85">
        <v>268479</v>
      </c>
      <c r="G864" s="112">
        <f t="shared" si="26"/>
        <v>9.567278153251868E-3</v>
      </c>
      <c r="I864" s="105">
        <v>44635</v>
      </c>
      <c r="J864" s="85">
        <v>43432.18</v>
      </c>
      <c r="K864" s="85">
        <v>43793.57</v>
      </c>
      <c r="L864" s="85">
        <v>43325.59</v>
      </c>
      <c r="M864" s="85">
        <v>43719.82</v>
      </c>
      <c r="N864" s="123">
        <v>48986559</v>
      </c>
      <c r="O864" s="112">
        <f t="shared" si="27"/>
        <v>8.138236336522997E-3</v>
      </c>
    </row>
    <row r="865" spans="1:15">
      <c r="A865" s="105">
        <v>44634</v>
      </c>
      <c r="B865" s="85">
        <v>114</v>
      </c>
      <c r="C865" s="85">
        <v>114.5</v>
      </c>
      <c r="D865" s="85">
        <v>113.06</v>
      </c>
      <c r="E865" s="85">
        <v>113.93</v>
      </c>
      <c r="F865" s="85">
        <v>487685</v>
      </c>
      <c r="G865" s="112">
        <f t="shared" si="26"/>
        <v>-1.752387628143226E-3</v>
      </c>
      <c r="I865" s="105">
        <v>44634</v>
      </c>
      <c r="J865" s="85">
        <v>43698.44</v>
      </c>
      <c r="K865" s="85">
        <v>43767.77</v>
      </c>
      <c r="L865" s="85">
        <v>43324.83</v>
      </c>
      <c r="M865" s="85">
        <v>43366.89</v>
      </c>
      <c r="N865" s="123">
        <v>43211362</v>
      </c>
      <c r="O865" s="112">
        <f t="shared" si="27"/>
        <v>-6.5616987295127327E-3</v>
      </c>
    </row>
    <row r="866" spans="1:15">
      <c r="A866" s="105">
        <v>44631</v>
      </c>
      <c r="B866" s="85">
        <v>114</v>
      </c>
      <c r="C866" s="85">
        <v>114.86</v>
      </c>
      <c r="D866" s="85">
        <v>113.07</v>
      </c>
      <c r="E866" s="85">
        <v>114.13</v>
      </c>
      <c r="F866" s="85">
        <v>325294</v>
      </c>
      <c r="G866" s="112">
        <f t="shared" si="26"/>
        <v>7.8919677306199532E-4</v>
      </c>
      <c r="I866" s="105">
        <v>44631</v>
      </c>
      <c r="J866" s="85">
        <v>43709.02</v>
      </c>
      <c r="K866" s="85">
        <v>43966.27</v>
      </c>
      <c r="L866" s="85">
        <v>43595.06</v>
      </c>
      <c r="M866" s="85">
        <v>43653.33</v>
      </c>
      <c r="N866" s="123">
        <v>61845753</v>
      </c>
      <c r="O866" s="112">
        <f t="shared" si="27"/>
        <v>-4.5672398310561135E-3</v>
      </c>
    </row>
    <row r="867" spans="1:15">
      <c r="A867" s="105">
        <v>44630</v>
      </c>
      <c r="B867" s="85">
        <v>113.9</v>
      </c>
      <c r="C867" s="85">
        <v>115.85</v>
      </c>
      <c r="D867" s="85">
        <v>112.3</v>
      </c>
      <c r="E867" s="85">
        <v>114.04</v>
      </c>
      <c r="F867" s="85">
        <v>1116936</v>
      </c>
      <c r="G867" s="112">
        <f t="shared" si="26"/>
        <v>1.5584646896428911E-2</v>
      </c>
      <c r="I867" s="105">
        <v>44630</v>
      </c>
      <c r="J867" s="85">
        <v>43347.5</v>
      </c>
      <c r="K867" s="85">
        <v>43921.82</v>
      </c>
      <c r="L867" s="85">
        <v>43347.5</v>
      </c>
      <c r="M867" s="85">
        <v>43853.62</v>
      </c>
      <c r="N867" s="123">
        <v>83786258</v>
      </c>
      <c r="O867" s="112">
        <f t="shared" si="27"/>
        <v>1.8833741917377411E-2</v>
      </c>
    </row>
    <row r="868" spans="1:15">
      <c r="A868" s="105">
        <v>44629</v>
      </c>
      <c r="B868" s="85">
        <v>111</v>
      </c>
      <c r="C868" s="85">
        <v>114.97</v>
      </c>
      <c r="D868" s="85">
        <v>111</v>
      </c>
      <c r="E868" s="85">
        <v>112.29</v>
      </c>
      <c r="F868" s="85">
        <v>1056162</v>
      </c>
      <c r="G868" s="112">
        <f t="shared" si="26"/>
        <v>-3.5609365263056247E-4</v>
      </c>
      <c r="I868" s="105">
        <v>44629</v>
      </c>
      <c r="J868" s="85">
        <v>42941.19</v>
      </c>
      <c r="K868" s="85">
        <v>43226.34</v>
      </c>
      <c r="L868" s="85">
        <v>42865.81</v>
      </c>
      <c r="M868" s="85">
        <v>43042.96</v>
      </c>
      <c r="N868" s="123">
        <v>82231020</v>
      </c>
      <c r="O868" s="112">
        <f t="shared" si="27"/>
        <v>3.8390003346677748E-3</v>
      </c>
    </row>
    <row r="869" spans="1:15">
      <c r="A869" s="105">
        <v>44628</v>
      </c>
      <c r="B869" s="85">
        <v>116</v>
      </c>
      <c r="C869" s="85">
        <v>116</v>
      </c>
      <c r="D869" s="85">
        <v>111.15</v>
      </c>
      <c r="E869" s="85">
        <v>112.33</v>
      </c>
      <c r="F869" s="85">
        <v>609309</v>
      </c>
      <c r="G869" s="112">
        <f t="shared" si="26"/>
        <v>-5.9292035398230691E-3</v>
      </c>
      <c r="I869" s="105">
        <v>44628</v>
      </c>
      <c r="J869" s="85">
        <v>43159.48</v>
      </c>
      <c r="K869" s="85">
        <v>43427.83</v>
      </c>
      <c r="L869" s="85">
        <v>42782.52</v>
      </c>
      <c r="M869" s="85">
        <v>42878.35</v>
      </c>
      <c r="N869" s="123">
        <v>92995497</v>
      </c>
      <c r="O869" s="112">
        <f t="shared" si="27"/>
        <v>-8.981909294780821E-3</v>
      </c>
    </row>
    <row r="870" spans="1:15">
      <c r="A870" s="105">
        <v>44627</v>
      </c>
      <c r="B870" s="85">
        <v>115.1</v>
      </c>
      <c r="C870" s="85">
        <v>115.9</v>
      </c>
      <c r="D870" s="85">
        <v>112.26</v>
      </c>
      <c r="E870" s="85">
        <v>113</v>
      </c>
      <c r="F870" s="85">
        <v>453555</v>
      </c>
      <c r="G870" s="112">
        <f t="shared" si="26"/>
        <v>-2.8124193687107613E-2</v>
      </c>
      <c r="I870" s="105">
        <v>44627</v>
      </c>
      <c r="J870" s="85">
        <v>44331.13</v>
      </c>
      <c r="K870" s="85">
        <v>44331.13</v>
      </c>
      <c r="L870" s="85">
        <v>43049.41</v>
      </c>
      <c r="M870" s="85">
        <v>43266.97</v>
      </c>
      <c r="N870" s="123">
        <v>104842757</v>
      </c>
      <c r="O870" s="112">
        <f t="shared" si="27"/>
        <v>-2.8829204951140608E-2</v>
      </c>
    </row>
    <row r="871" spans="1:15">
      <c r="A871" s="105">
        <v>44624</v>
      </c>
      <c r="B871" s="85">
        <v>115</v>
      </c>
      <c r="C871" s="85">
        <v>117</v>
      </c>
      <c r="D871" s="85">
        <v>115</v>
      </c>
      <c r="E871" s="85">
        <v>116.27</v>
      </c>
      <c r="F871" s="85">
        <v>849987</v>
      </c>
      <c r="G871" s="112">
        <f t="shared" si="26"/>
        <v>9.6387634595345162E-3</v>
      </c>
      <c r="I871" s="105">
        <v>44624</v>
      </c>
      <c r="J871" s="85">
        <v>44534.74</v>
      </c>
      <c r="K871" s="85">
        <v>44723.19</v>
      </c>
      <c r="L871" s="85">
        <v>44457.55</v>
      </c>
      <c r="M871" s="85">
        <v>44551.35</v>
      </c>
      <c r="N871" s="123">
        <v>62841923</v>
      </c>
      <c r="O871" s="112">
        <f t="shared" si="27"/>
        <v>5.7562235939134787E-4</v>
      </c>
    </row>
    <row r="872" spans="1:15">
      <c r="A872" s="105">
        <v>44623</v>
      </c>
      <c r="B872" s="85">
        <v>117</v>
      </c>
      <c r="C872" s="85">
        <v>117</v>
      </c>
      <c r="D872" s="85">
        <v>114.8</v>
      </c>
      <c r="E872" s="85">
        <v>115.16</v>
      </c>
      <c r="F872" s="85">
        <v>147193</v>
      </c>
      <c r="G872" s="112">
        <f t="shared" si="26"/>
        <v>-2.5983024424042211E-3</v>
      </c>
      <c r="I872" s="105">
        <v>44623</v>
      </c>
      <c r="J872" s="85">
        <v>44503.31</v>
      </c>
      <c r="K872" s="85">
        <v>44706.46</v>
      </c>
      <c r="L872" s="85">
        <v>44311.8</v>
      </c>
      <c r="M872" s="85">
        <v>44525.72</v>
      </c>
      <c r="N872" s="123">
        <v>107739600</v>
      </c>
      <c r="O872" s="112">
        <f t="shared" si="27"/>
        <v>2.6059147075119249E-4</v>
      </c>
    </row>
    <row r="873" spans="1:15">
      <c r="A873" s="105">
        <v>44622</v>
      </c>
      <c r="B873" s="85">
        <v>116.94</v>
      </c>
      <c r="C873" s="85">
        <v>116.94</v>
      </c>
      <c r="D873" s="85">
        <v>114.81</v>
      </c>
      <c r="E873" s="85">
        <v>115.46</v>
      </c>
      <c r="F873" s="85">
        <v>674871</v>
      </c>
      <c r="G873" s="112">
        <f t="shared" si="26"/>
        <v>-7.2226999140154735E-3</v>
      </c>
      <c r="I873" s="105">
        <v>44622</v>
      </c>
      <c r="J873" s="85">
        <v>44589.56</v>
      </c>
      <c r="K873" s="85">
        <v>44603.25</v>
      </c>
      <c r="L873" s="85">
        <v>44133.58</v>
      </c>
      <c r="M873" s="85">
        <v>44514.12</v>
      </c>
      <c r="N873" s="123">
        <v>114618079</v>
      </c>
      <c r="O873" s="112">
        <f t="shared" si="27"/>
        <v>-6.4606444395738372E-3</v>
      </c>
    </row>
    <row r="874" spans="1:15">
      <c r="A874" s="105">
        <v>44621</v>
      </c>
      <c r="B874" s="85">
        <v>117.98</v>
      </c>
      <c r="C874" s="85">
        <v>118.1</v>
      </c>
      <c r="D874" s="85">
        <v>116</v>
      </c>
      <c r="E874" s="85">
        <v>116.3</v>
      </c>
      <c r="F874" s="85">
        <v>748773</v>
      </c>
      <c r="G874" s="112">
        <f t="shared" si="26"/>
        <v>1.1190496685891116E-3</v>
      </c>
      <c r="I874" s="105">
        <v>44621</v>
      </c>
      <c r="J874" s="85">
        <v>44962.79</v>
      </c>
      <c r="K874" s="85">
        <v>45016.65</v>
      </c>
      <c r="L874" s="85">
        <v>44484.37</v>
      </c>
      <c r="M874" s="85">
        <v>44803.58</v>
      </c>
      <c r="N874" s="123">
        <v>129060091</v>
      </c>
      <c r="O874" s="112">
        <f t="shared" si="27"/>
        <v>7.7049531713291319E-3</v>
      </c>
    </row>
    <row r="875" spans="1:15">
      <c r="A875" s="105">
        <v>44620</v>
      </c>
      <c r="B875" s="85">
        <v>117.41</v>
      </c>
      <c r="C875" s="85">
        <v>117.41</v>
      </c>
      <c r="D875" s="85">
        <v>115.02</v>
      </c>
      <c r="E875" s="85">
        <v>116.17</v>
      </c>
      <c r="F875" s="85">
        <v>1270047</v>
      </c>
      <c r="G875" s="112">
        <f t="shared" si="26"/>
        <v>-1.2895460797798242E-3</v>
      </c>
      <c r="I875" s="105">
        <v>44620</v>
      </c>
      <c r="J875" s="85">
        <v>44004.22</v>
      </c>
      <c r="K875" s="85">
        <v>44557.1</v>
      </c>
      <c r="L875" s="85">
        <v>43639.17</v>
      </c>
      <c r="M875" s="85">
        <v>44461.01</v>
      </c>
      <c r="N875" s="123">
        <v>81022849</v>
      </c>
      <c r="O875" s="112">
        <f t="shared" si="27"/>
        <v>1.0839564353050113E-2</v>
      </c>
    </row>
    <row r="876" spans="1:15">
      <c r="A876" s="105">
        <v>44617</v>
      </c>
      <c r="B876" s="85">
        <v>116.01</v>
      </c>
      <c r="C876" s="85">
        <v>117.5</v>
      </c>
      <c r="D876" s="85">
        <v>116.01</v>
      </c>
      <c r="E876" s="85">
        <v>116.32</v>
      </c>
      <c r="F876" s="85">
        <v>1155499</v>
      </c>
      <c r="G876" s="112">
        <f t="shared" si="26"/>
        <v>-1.0305736860185544E-3</v>
      </c>
      <c r="I876" s="105">
        <v>44617</v>
      </c>
      <c r="J876" s="85">
        <v>43905.2</v>
      </c>
      <c r="K876" s="85">
        <v>44195.99</v>
      </c>
      <c r="L876" s="85">
        <v>43805.04</v>
      </c>
      <c r="M876" s="85">
        <v>43984.24</v>
      </c>
      <c r="N876" s="123">
        <v>90038840</v>
      </c>
      <c r="O876" s="112">
        <f t="shared" si="27"/>
        <v>3.5073742012126097E-3</v>
      </c>
    </row>
    <row r="877" spans="1:15">
      <c r="A877" s="105">
        <v>44616</v>
      </c>
      <c r="B877" s="85">
        <v>120</v>
      </c>
      <c r="C877" s="85">
        <v>121.45</v>
      </c>
      <c r="D877" s="85">
        <v>115.9</v>
      </c>
      <c r="E877" s="85">
        <v>116.44</v>
      </c>
      <c r="F877" s="85">
        <v>1874967</v>
      </c>
      <c r="G877" s="112">
        <f t="shared" si="26"/>
        <v>-4.0935672514619825E-2</v>
      </c>
      <c r="I877" s="105">
        <v>44616</v>
      </c>
      <c r="J877" s="85">
        <v>44627.35</v>
      </c>
      <c r="K877" s="85">
        <v>44627.35</v>
      </c>
      <c r="L877" s="85">
        <v>43791.31</v>
      </c>
      <c r="M877" s="85">
        <v>43830.51</v>
      </c>
      <c r="N877" s="123">
        <v>136261424</v>
      </c>
      <c r="O877" s="112">
        <f t="shared" si="27"/>
        <v>-2.8857206668657764E-2</v>
      </c>
    </row>
    <row r="878" spans="1:15">
      <c r="A878" s="105">
        <v>44615</v>
      </c>
      <c r="B878" s="85">
        <v>121.65</v>
      </c>
      <c r="C878" s="85">
        <v>122</v>
      </c>
      <c r="D878" s="85">
        <v>119.22</v>
      </c>
      <c r="E878" s="85">
        <v>121.41</v>
      </c>
      <c r="F878" s="85">
        <v>811166</v>
      </c>
      <c r="G878" s="112">
        <f t="shared" si="26"/>
        <v>9.8936433341578756E-4</v>
      </c>
      <c r="I878" s="105">
        <v>44615</v>
      </c>
      <c r="J878" s="85">
        <v>45094.01</v>
      </c>
      <c r="K878" s="85">
        <v>45235.21</v>
      </c>
      <c r="L878" s="85">
        <v>44756.23</v>
      </c>
      <c r="M878" s="85">
        <v>45132.92</v>
      </c>
      <c r="N878" s="123">
        <v>94488957</v>
      </c>
      <c r="O878" s="112">
        <f t="shared" si="27"/>
        <v>2.6823850788830761E-3</v>
      </c>
    </row>
    <row r="879" spans="1:15">
      <c r="A879" s="105">
        <v>44614</v>
      </c>
      <c r="B879" s="85">
        <v>122.2</v>
      </c>
      <c r="C879" s="85">
        <v>122.2</v>
      </c>
      <c r="D879" s="85">
        <v>118</v>
      </c>
      <c r="E879" s="85">
        <v>121.29</v>
      </c>
      <c r="F879" s="85">
        <v>1400159</v>
      </c>
      <c r="G879" s="112">
        <f t="shared" si="26"/>
        <v>-3.6964021685558235E-3</v>
      </c>
      <c r="I879" s="105">
        <v>44614</v>
      </c>
      <c r="J879" s="85">
        <v>45292.13</v>
      </c>
      <c r="K879" s="85">
        <v>45326.38</v>
      </c>
      <c r="L879" s="85">
        <v>44697.89</v>
      </c>
      <c r="M879" s="85">
        <v>45012.18</v>
      </c>
      <c r="N879" s="123">
        <v>112199460</v>
      </c>
      <c r="O879" s="112">
        <f t="shared" si="27"/>
        <v>-7.7303344035922761E-3</v>
      </c>
    </row>
    <row r="880" spans="1:15">
      <c r="A880" s="105">
        <v>44613</v>
      </c>
      <c r="B880" s="85">
        <v>122.4</v>
      </c>
      <c r="C880" s="85">
        <v>122.6</v>
      </c>
      <c r="D880" s="85">
        <v>121.5</v>
      </c>
      <c r="E880" s="85">
        <v>121.74</v>
      </c>
      <c r="F880" s="85">
        <v>83287</v>
      </c>
      <c r="G880" s="112">
        <f t="shared" si="26"/>
        <v>-1.55827113917828E-3</v>
      </c>
      <c r="I880" s="105">
        <v>44613</v>
      </c>
      <c r="J880" s="85">
        <v>45682.37</v>
      </c>
      <c r="K880" s="85">
        <v>45743.6</v>
      </c>
      <c r="L880" s="85">
        <v>45342.06</v>
      </c>
      <c r="M880" s="85">
        <v>45362.85</v>
      </c>
      <c r="N880" s="123">
        <v>62159048</v>
      </c>
      <c r="O880" s="112">
        <f t="shared" si="27"/>
        <v>-6.8530714357494249E-3</v>
      </c>
    </row>
    <row r="881" spans="1:15">
      <c r="A881" s="105">
        <v>44610</v>
      </c>
      <c r="B881" s="85">
        <v>122</v>
      </c>
      <c r="C881" s="85">
        <v>122.9</v>
      </c>
      <c r="D881" s="85">
        <v>121</v>
      </c>
      <c r="E881" s="85">
        <v>121.93</v>
      </c>
      <c r="F881" s="85">
        <v>318035</v>
      </c>
      <c r="G881" s="112">
        <f t="shared" si="26"/>
        <v>3.2816473869878848E-4</v>
      </c>
      <c r="I881" s="105">
        <v>44610</v>
      </c>
      <c r="J881" s="85">
        <v>45446.14</v>
      </c>
      <c r="K881" s="85">
        <v>45706.29</v>
      </c>
      <c r="L881" s="85">
        <v>45443.45</v>
      </c>
      <c r="M881" s="85">
        <v>45675.87</v>
      </c>
      <c r="N881" s="123">
        <v>113634773</v>
      </c>
      <c r="O881" s="112">
        <f t="shared" si="27"/>
        <v>5.1664682413059548E-3</v>
      </c>
    </row>
    <row r="882" spans="1:15">
      <c r="A882" s="105">
        <v>44609</v>
      </c>
      <c r="B882" s="85">
        <v>121.27</v>
      </c>
      <c r="C882" s="85">
        <v>122.44</v>
      </c>
      <c r="D882" s="85">
        <v>120.5</v>
      </c>
      <c r="E882" s="85">
        <v>121.89</v>
      </c>
      <c r="F882" s="85">
        <v>117622</v>
      </c>
      <c r="G882" s="112">
        <f t="shared" si="26"/>
        <v>4.0362438220757912E-3</v>
      </c>
      <c r="I882" s="105">
        <v>44609</v>
      </c>
      <c r="J882" s="85">
        <v>45612.01</v>
      </c>
      <c r="K882" s="85">
        <v>45716.86</v>
      </c>
      <c r="L882" s="85">
        <v>45257.41</v>
      </c>
      <c r="M882" s="85">
        <v>45441.1</v>
      </c>
      <c r="N882" s="123">
        <v>63814690</v>
      </c>
      <c r="O882" s="112">
        <f t="shared" si="27"/>
        <v>-5.3343781739222385E-3</v>
      </c>
    </row>
    <row r="883" spans="1:15">
      <c r="A883" s="105">
        <v>44608</v>
      </c>
      <c r="B883" s="85">
        <v>122.98</v>
      </c>
      <c r="C883" s="85">
        <v>122.98</v>
      </c>
      <c r="D883" s="85">
        <v>121.11</v>
      </c>
      <c r="E883" s="85">
        <v>121.4</v>
      </c>
      <c r="F883" s="85">
        <v>363293</v>
      </c>
      <c r="G883" s="112">
        <f t="shared" si="26"/>
        <v>-5.081134240288443E-3</v>
      </c>
      <c r="I883" s="105">
        <v>44608</v>
      </c>
      <c r="J883" s="85">
        <v>45834.54</v>
      </c>
      <c r="K883" s="85">
        <v>45904.69</v>
      </c>
      <c r="L883" s="85">
        <v>45603.65</v>
      </c>
      <c r="M883" s="85">
        <v>45684.800000000003</v>
      </c>
      <c r="N883" s="123">
        <v>78140056</v>
      </c>
      <c r="O883" s="112">
        <f t="shared" si="27"/>
        <v>-1.0255468307540649E-3</v>
      </c>
    </row>
    <row r="884" spans="1:15">
      <c r="A884" s="105">
        <v>44607</v>
      </c>
      <c r="B884" s="85">
        <v>123.85</v>
      </c>
      <c r="C884" s="85">
        <v>123.85</v>
      </c>
      <c r="D884" s="85">
        <v>121.6</v>
      </c>
      <c r="E884" s="85">
        <v>122.02</v>
      </c>
      <c r="F884" s="85">
        <v>1420639</v>
      </c>
      <c r="G884" s="112">
        <f t="shared" si="26"/>
        <v>-4.7308319738988969E-3</v>
      </c>
      <c r="I884" s="105">
        <v>44607</v>
      </c>
      <c r="J884" s="85">
        <v>45690.61</v>
      </c>
      <c r="K884" s="85">
        <v>45804.72</v>
      </c>
      <c r="L884" s="85">
        <v>45502.81</v>
      </c>
      <c r="M884" s="85">
        <v>45731.7</v>
      </c>
      <c r="N884" s="123">
        <v>98225012</v>
      </c>
      <c r="O884" s="112">
        <f t="shared" si="27"/>
        <v>1.9194160733624344E-3</v>
      </c>
    </row>
    <row r="885" spans="1:15">
      <c r="A885" s="105">
        <v>44606</v>
      </c>
      <c r="B885" s="85">
        <v>123.23</v>
      </c>
      <c r="C885" s="85">
        <v>124.5</v>
      </c>
      <c r="D885" s="85">
        <v>122.45</v>
      </c>
      <c r="E885" s="85">
        <v>122.6</v>
      </c>
      <c r="F885" s="85">
        <v>532437</v>
      </c>
      <c r="G885" s="112">
        <f t="shared" si="26"/>
        <v>-5.1123914631178158E-3</v>
      </c>
      <c r="I885" s="105">
        <v>44606</v>
      </c>
      <c r="J885" s="85">
        <v>46062.52</v>
      </c>
      <c r="K885" s="85">
        <v>46133.87</v>
      </c>
      <c r="L885" s="85">
        <v>45507.45</v>
      </c>
      <c r="M885" s="85">
        <v>45644.09</v>
      </c>
      <c r="N885" s="123">
        <v>71854043</v>
      </c>
      <c r="O885" s="112">
        <f t="shared" si="27"/>
        <v>-9.446309704321143E-3</v>
      </c>
    </row>
    <row r="886" spans="1:15">
      <c r="A886" s="105">
        <v>44603</v>
      </c>
      <c r="B886" s="85">
        <v>122.8</v>
      </c>
      <c r="C886" s="85">
        <v>123.95</v>
      </c>
      <c r="D886" s="85">
        <v>121.56</v>
      </c>
      <c r="E886" s="85">
        <v>123.23</v>
      </c>
      <c r="F886" s="85">
        <v>1131428</v>
      </c>
      <c r="G886" s="112">
        <f t="shared" si="26"/>
        <v>7.3571486961498955E-3</v>
      </c>
      <c r="I886" s="105">
        <v>44603</v>
      </c>
      <c r="J886" s="85">
        <v>45941.34</v>
      </c>
      <c r="K886" s="85">
        <v>46144.49</v>
      </c>
      <c r="L886" s="85">
        <v>45838.75</v>
      </c>
      <c r="M886" s="85">
        <v>46079.37</v>
      </c>
      <c r="N886" s="123">
        <v>84566424</v>
      </c>
      <c r="O886" s="112">
        <f t="shared" si="27"/>
        <v>3.0328663187930704E-3</v>
      </c>
    </row>
    <row r="887" spans="1:15">
      <c r="A887" s="105">
        <v>44602</v>
      </c>
      <c r="B887" s="85">
        <v>124.22</v>
      </c>
      <c r="C887" s="85">
        <v>124.99</v>
      </c>
      <c r="D887" s="85">
        <v>122.03</v>
      </c>
      <c r="E887" s="85">
        <v>122.33</v>
      </c>
      <c r="F887" s="85">
        <v>1544517</v>
      </c>
      <c r="G887" s="112">
        <f t="shared" si="26"/>
        <v>-1.5214941233295809E-2</v>
      </c>
      <c r="I887" s="105">
        <v>44602</v>
      </c>
      <c r="J887" s="85">
        <v>46349.5</v>
      </c>
      <c r="K887" s="85">
        <v>46468.26</v>
      </c>
      <c r="L887" s="85">
        <v>45936.18</v>
      </c>
      <c r="M887" s="85">
        <v>45940.04</v>
      </c>
      <c r="N887" s="123">
        <v>112176623</v>
      </c>
      <c r="O887" s="112">
        <f t="shared" si="27"/>
        <v>-8.6258539103353238E-3</v>
      </c>
    </row>
    <row r="888" spans="1:15">
      <c r="A888" s="105">
        <v>44601</v>
      </c>
      <c r="B888" s="85">
        <v>124.15</v>
      </c>
      <c r="C888" s="85">
        <v>124.99</v>
      </c>
      <c r="D888" s="85">
        <v>123.16</v>
      </c>
      <c r="E888" s="85">
        <v>124.22</v>
      </c>
      <c r="F888" s="85">
        <v>1243444</v>
      </c>
      <c r="G888" s="112">
        <f t="shared" si="26"/>
        <v>5.1788315261369622E-3</v>
      </c>
      <c r="I888" s="105">
        <v>44601</v>
      </c>
      <c r="J888" s="85">
        <v>46032.71</v>
      </c>
      <c r="K888" s="85">
        <v>46408.83</v>
      </c>
      <c r="L888" s="85">
        <v>45992.97</v>
      </c>
      <c r="M888" s="85">
        <v>46339.76</v>
      </c>
      <c r="N888" s="123">
        <v>125209538</v>
      </c>
      <c r="O888" s="112">
        <f t="shared" si="27"/>
        <v>8.5272574728578743E-3</v>
      </c>
    </row>
    <row r="889" spans="1:15">
      <c r="A889" s="105">
        <v>44600</v>
      </c>
      <c r="B889" s="85">
        <v>124.4</v>
      </c>
      <c r="C889" s="85">
        <v>124.55</v>
      </c>
      <c r="D889" s="85">
        <v>123</v>
      </c>
      <c r="E889" s="85">
        <v>123.58</v>
      </c>
      <c r="F889" s="85">
        <v>1701938</v>
      </c>
      <c r="G889" s="112">
        <f t="shared" si="26"/>
        <v>-2.7437056165268148E-3</v>
      </c>
      <c r="I889" s="105">
        <v>44600</v>
      </c>
      <c r="J889" s="85">
        <v>45843.18</v>
      </c>
      <c r="K889" s="85">
        <v>46040.61</v>
      </c>
      <c r="L889" s="85">
        <v>45727.64</v>
      </c>
      <c r="M889" s="85">
        <v>45947.95</v>
      </c>
      <c r="N889" s="123">
        <v>91897383</v>
      </c>
      <c r="O889" s="112">
        <f t="shared" si="27"/>
        <v>2.3275979603523123E-3</v>
      </c>
    </row>
    <row r="890" spans="1:15">
      <c r="A890" s="105">
        <v>44599</v>
      </c>
      <c r="B890" s="85">
        <v>124.44</v>
      </c>
      <c r="C890" s="85">
        <v>125</v>
      </c>
      <c r="D890" s="85">
        <v>123.55</v>
      </c>
      <c r="E890" s="85">
        <v>123.92</v>
      </c>
      <c r="F890" s="85">
        <v>191597</v>
      </c>
      <c r="G890" s="112">
        <f t="shared" si="26"/>
        <v>2.4215029461616133E-4</v>
      </c>
      <c r="I890" s="105">
        <v>44599</v>
      </c>
      <c r="J890" s="85">
        <v>45958.75</v>
      </c>
      <c r="K890" s="85">
        <v>46139.82</v>
      </c>
      <c r="L890" s="85">
        <v>45799.67</v>
      </c>
      <c r="M890" s="85">
        <v>45841.25</v>
      </c>
      <c r="N890" s="123">
        <v>77220522</v>
      </c>
      <c r="O890" s="112">
        <f t="shared" si="27"/>
        <v>-1.4898828459811719E-3</v>
      </c>
    </row>
    <row r="891" spans="1:15">
      <c r="A891" s="105">
        <v>44596</v>
      </c>
      <c r="B891" s="85">
        <v>123.1</v>
      </c>
      <c r="C891" s="85">
        <v>124.9</v>
      </c>
      <c r="D891" s="85">
        <v>123.1</v>
      </c>
      <c r="E891" s="85">
        <v>123.89</v>
      </c>
      <c r="F891" s="85">
        <v>2721987</v>
      </c>
      <c r="G891" s="112">
        <f t="shared" si="26"/>
        <v>2.7519222986644998E-3</v>
      </c>
      <c r="I891" s="105">
        <v>44596</v>
      </c>
      <c r="J891" s="85">
        <v>45934.91</v>
      </c>
      <c r="K891" s="85">
        <v>46133.2</v>
      </c>
      <c r="L891" s="85">
        <v>45814.64</v>
      </c>
      <c r="M891" s="85">
        <v>45909.65</v>
      </c>
      <c r="N891" s="123">
        <v>82119876</v>
      </c>
      <c r="O891" s="112">
        <f t="shared" si="27"/>
        <v>1.0186876416313773E-3</v>
      </c>
    </row>
    <row r="892" spans="1:15">
      <c r="A892" s="105">
        <v>44595</v>
      </c>
      <c r="B892" s="85">
        <v>126</v>
      </c>
      <c r="C892" s="85">
        <v>126</v>
      </c>
      <c r="D892" s="85">
        <v>123.45</v>
      </c>
      <c r="E892" s="85">
        <v>123.55</v>
      </c>
      <c r="F892" s="85">
        <v>750312</v>
      </c>
      <c r="G892" s="112">
        <f t="shared" si="26"/>
        <v>-9.3015796648223681E-3</v>
      </c>
      <c r="I892" s="105">
        <v>44595</v>
      </c>
      <c r="J892" s="85">
        <v>46354.98</v>
      </c>
      <c r="K892" s="85">
        <v>46387.64</v>
      </c>
      <c r="L892" s="85">
        <v>45818.04</v>
      </c>
      <c r="M892" s="85">
        <v>45862.93</v>
      </c>
      <c r="N892" s="123">
        <v>125664033</v>
      </c>
      <c r="O892" s="112">
        <f t="shared" si="27"/>
        <v>-5.5556097629726464E-3</v>
      </c>
    </row>
    <row r="893" spans="1:15">
      <c r="A893" s="105">
        <v>44594</v>
      </c>
      <c r="B893" s="85">
        <v>121.02</v>
      </c>
      <c r="C893" s="85">
        <v>128</v>
      </c>
      <c r="D893" s="85">
        <v>121</v>
      </c>
      <c r="E893" s="85">
        <v>124.71</v>
      </c>
      <c r="F893" s="85">
        <v>3470427</v>
      </c>
      <c r="G893" s="112">
        <f t="shared" si="26"/>
        <v>2.4901380670611317E-2</v>
      </c>
      <c r="I893" s="105">
        <v>44594</v>
      </c>
      <c r="J893" s="85">
        <v>45736.51</v>
      </c>
      <c r="K893" s="85">
        <v>46139.5</v>
      </c>
      <c r="L893" s="85">
        <v>45707.3</v>
      </c>
      <c r="M893" s="85">
        <v>46119.15</v>
      </c>
      <c r="N893" s="123">
        <v>123505464</v>
      </c>
      <c r="O893" s="112">
        <f t="shared" si="27"/>
        <v>9.7351914087728808E-3</v>
      </c>
    </row>
    <row r="894" spans="1:15">
      <c r="A894" s="105">
        <v>44593</v>
      </c>
      <c r="B894" s="85">
        <v>120.55</v>
      </c>
      <c r="C894" s="85">
        <v>122.5</v>
      </c>
      <c r="D894" s="85">
        <v>120.55</v>
      </c>
      <c r="E894" s="85">
        <v>121.68</v>
      </c>
      <c r="F894" s="85">
        <v>376741</v>
      </c>
      <c r="G894" s="112">
        <f t="shared" si="26"/>
        <v>4.0432378909152078E-3</v>
      </c>
      <c r="I894" s="105">
        <v>44593</v>
      </c>
      <c r="J894" s="85">
        <v>45433.25</v>
      </c>
      <c r="K894" s="85">
        <v>45754.17</v>
      </c>
      <c r="L894" s="85">
        <v>45381.55</v>
      </c>
      <c r="M894" s="85">
        <v>45674.5</v>
      </c>
      <c r="N894" s="123">
        <v>115426498</v>
      </c>
      <c r="O894" s="112">
        <f t="shared" si="27"/>
        <v>6.6076499051894722E-3</v>
      </c>
    </row>
    <row r="895" spans="1:15">
      <c r="A895" s="105">
        <v>44592</v>
      </c>
      <c r="B895" s="85">
        <v>120.2</v>
      </c>
      <c r="C895" s="85">
        <v>121.7</v>
      </c>
      <c r="D895" s="85">
        <v>120.2</v>
      </c>
      <c r="E895" s="85">
        <v>121.19</v>
      </c>
      <c r="F895" s="85">
        <v>691880</v>
      </c>
      <c r="G895" s="112">
        <f t="shared" si="26"/>
        <v>5.3924008627841413E-3</v>
      </c>
      <c r="I895" s="105">
        <v>44592</v>
      </c>
      <c r="J895" s="85">
        <v>45139.09</v>
      </c>
      <c r="K895" s="85">
        <v>45462.62</v>
      </c>
      <c r="L895" s="85">
        <v>45139.09</v>
      </c>
      <c r="M895" s="85">
        <v>45374.68</v>
      </c>
      <c r="N895" s="123">
        <v>91945213</v>
      </c>
      <c r="O895" s="112">
        <f t="shared" si="27"/>
        <v>6.5834906720385611E-3</v>
      </c>
    </row>
    <row r="896" spans="1:15">
      <c r="A896" s="105">
        <v>44589</v>
      </c>
      <c r="B896" s="85">
        <v>120.1</v>
      </c>
      <c r="C896" s="85">
        <v>121.5</v>
      </c>
      <c r="D896" s="85">
        <v>120.1</v>
      </c>
      <c r="E896" s="85">
        <v>120.54</v>
      </c>
      <c r="F896" s="85">
        <v>456985</v>
      </c>
      <c r="G896" s="112">
        <f t="shared" si="26"/>
        <v>-3.8839765308652519E-3</v>
      </c>
      <c r="I896" s="105">
        <v>44589</v>
      </c>
      <c r="J896" s="85">
        <v>45055.33</v>
      </c>
      <c r="K896" s="85">
        <v>45312.05</v>
      </c>
      <c r="L896" s="85">
        <v>45030.79</v>
      </c>
      <c r="M896" s="85">
        <v>45077.91</v>
      </c>
      <c r="N896" s="123">
        <v>89324460</v>
      </c>
      <c r="O896" s="112">
        <f t="shared" si="27"/>
        <v>-1.1379001948397249E-4</v>
      </c>
    </row>
    <row r="897" spans="1:15">
      <c r="A897" s="105">
        <v>44588</v>
      </c>
      <c r="B897" s="85">
        <v>121.65</v>
      </c>
      <c r="C897" s="85">
        <v>121.65</v>
      </c>
      <c r="D897" s="85">
        <v>120.5</v>
      </c>
      <c r="E897" s="85">
        <v>121.01</v>
      </c>
      <c r="F897" s="85">
        <v>403396</v>
      </c>
      <c r="G897" s="112">
        <f t="shared" si="26"/>
        <v>0</v>
      </c>
      <c r="I897" s="105">
        <v>44588</v>
      </c>
      <c r="J897" s="85">
        <v>44995.16</v>
      </c>
      <c r="K897" s="85">
        <v>45181.51</v>
      </c>
      <c r="L897" s="85">
        <v>44970.3</v>
      </c>
      <c r="M897" s="85">
        <v>45083.040000000001</v>
      </c>
      <c r="N897" s="123">
        <v>89840095</v>
      </c>
      <c r="O897" s="112">
        <f t="shared" si="27"/>
        <v>2.847066124940234E-3</v>
      </c>
    </row>
    <row r="898" spans="1:15">
      <c r="A898" s="105">
        <v>44587</v>
      </c>
      <c r="B898" s="85">
        <v>121.75</v>
      </c>
      <c r="C898" s="85">
        <v>121.75</v>
      </c>
      <c r="D898" s="85">
        <v>120.8</v>
      </c>
      <c r="E898" s="85">
        <v>121.01</v>
      </c>
      <c r="F898" s="85">
        <v>271685</v>
      </c>
      <c r="G898" s="112">
        <f t="shared" si="26"/>
        <v>-4.6882710972199204E-3</v>
      </c>
      <c r="I898" s="105">
        <v>44587</v>
      </c>
      <c r="J898" s="85">
        <v>44896.37</v>
      </c>
      <c r="K898" s="85">
        <v>45031.21</v>
      </c>
      <c r="L898" s="85">
        <v>44709.3</v>
      </c>
      <c r="M898" s="85">
        <v>44955.05</v>
      </c>
      <c r="N898" s="123">
        <v>66916252</v>
      </c>
      <c r="O898" s="112">
        <f t="shared" si="27"/>
        <v>1.4988492411185383E-3</v>
      </c>
    </row>
    <row r="899" spans="1:15">
      <c r="A899" s="105">
        <v>44586</v>
      </c>
      <c r="B899" s="85">
        <v>121.05</v>
      </c>
      <c r="C899" s="85">
        <v>122.08</v>
      </c>
      <c r="D899" s="85">
        <v>121</v>
      </c>
      <c r="E899" s="85">
        <v>121.58</v>
      </c>
      <c r="F899" s="85">
        <v>311993</v>
      </c>
      <c r="G899" s="112">
        <f t="shared" si="26"/>
        <v>1.1528326745717798E-3</v>
      </c>
      <c r="I899" s="105">
        <v>44586</v>
      </c>
      <c r="J899" s="85">
        <v>44973.4</v>
      </c>
      <c r="K899" s="85">
        <v>45255.92</v>
      </c>
      <c r="L899" s="85">
        <v>44846.03</v>
      </c>
      <c r="M899" s="85">
        <v>44887.77</v>
      </c>
      <c r="N899" s="123">
        <v>97012059</v>
      </c>
      <c r="O899" s="112">
        <f t="shared" si="27"/>
        <v>-8.0447138283390451E-4</v>
      </c>
    </row>
    <row r="900" spans="1:15">
      <c r="A900" s="105">
        <v>44585</v>
      </c>
      <c r="B900" s="85">
        <v>122.25</v>
      </c>
      <c r="C900" s="85">
        <v>122.45</v>
      </c>
      <c r="D900" s="85">
        <v>121.15</v>
      </c>
      <c r="E900" s="85">
        <v>121.44</v>
      </c>
      <c r="F900" s="85">
        <v>220830</v>
      </c>
      <c r="G900" s="112">
        <f t="shared" ref="G900:G963" si="28">E900/E901-1</f>
        <v>-5.6497175141242417E-3</v>
      </c>
      <c r="I900" s="105">
        <v>44585</v>
      </c>
      <c r="J900" s="85">
        <v>45008.77</v>
      </c>
      <c r="K900" s="85">
        <v>45045.06</v>
      </c>
      <c r="L900" s="85">
        <v>44796.84</v>
      </c>
      <c r="M900" s="85">
        <v>44923.91</v>
      </c>
      <c r="N900" s="123">
        <v>88543021</v>
      </c>
      <c r="O900" s="112">
        <f t="shared" ref="O900:O963" si="29">M900/M901-1</f>
        <v>-2.1002495420766598E-3</v>
      </c>
    </row>
    <row r="901" spans="1:15">
      <c r="A901" s="105">
        <v>44582</v>
      </c>
      <c r="B901" s="85">
        <v>122.5</v>
      </c>
      <c r="C901" s="85">
        <v>122.5</v>
      </c>
      <c r="D901" s="85">
        <v>121.05</v>
      </c>
      <c r="E901" s="85">
        <v>122.13</v>
      </c>
      <c r="F901" s="85">
        <v>96511</v>
      </c>
      <c r="G901" s="112">
        <f t="shared" si="28"/>
        <v>7.3746312684352944E-4</v>
      </c>
      <c r="I901" s="105">
        <v>44582</v>
      </c>
      <c r="J901" s="85">
        <v>44801.33</v>
      </c>
      <c r="K901" s="85">
        <v>45149.19</v>
      </c>
      <c r="L901" s="85">
        <v>44747.93</v>
      </c>
      <c r="M901" s="85">
        <v>45018.46</v>
      </c>
      <c r="N901" s="123">
        <v>89865237</v>
      </c>
      <c r="O901" s="112">
        <f t="shared" si="29"/>
        <v>4.2941625133823269E-3</v>
      </c>
    </row>
    <row r="902" spans="1:15">
      <c r="A902" s="105">
        <v>44581</v>
      </c>
      <c r="B902" s="85">
        <v>121.49</v>
      </c>
      <c r="C902" s="85">
        <v>122.45</v>
      </c>
      <c r="D902" s="85">
        <v>119.7</v>
      </c>
      <c r="E902" s="85">
        <v>122.04</v>
      </c>
      <c r="F902" s="85">
        <v>350340</v>
      </c>
      <c r="G902" s="112">
        <f t="shared" si="28"/>
        <v>3.866085382907114E-3</v>
      </c>
      <c r="I902" s="105">
        <v>44581</v>
      </c>
      <c r="J902" s="85">
        <v>44760.24</v>
      </c>
      <c r="K902" s="85">
        <v>44875.44</v>
      </c>
      <c r="L902" s="85">
        <v>44274.31</v>
      </c>
      <c r="M902" s="85">
        <v>44825.97</v>
      </c>
      <c r="N902" s="123">
        <v>113658979</v>
      </c>
      <c r="O902" s="112">
        <f t="shared" si="29"/>
        <v>-1.6639369327753339E-4</v>
      </c>
    </row>
    <row r="903" spans="1:15">
      <c r="A903" s="105">
        <v>44580</v>
      </c>
      <c r="B903" s="85">
        <v>121.3</v>
      </c>
      <c r="C903" s="85">
        <v>122.8</v>
      </c>
      <c r="D903" s="85">
        <v>121.05</v>
      </c>
      <c r="E903" s="85">
        <v>121.57</v>
      </c>
      <c r="F903" s="85">
        <v>768005</v>
      </c>
      <c r="G903" s="112">
        <f t="shared" si="28"/>
        <v>-3.6062617818212184E-3</v>
      </c>
      <c r="I903" s="105">
        <v>44580</v>
      </c>
      <c r="J903" s="85">
        <v>45574.11</v>
      </c>
      <c r="K903" s="85">
        <v>45578.559999999998</v>
      </c>
      <c r="L903" s="85">
        <v>44734.239999999998</v>
      </c>
      <c r="M903" s="85">
        <v>44833.43</v>
      </c>
      <c r="N903" s="123">
        <v>100821487</v>
      </c>
      <c r="O903" s="112">
        <f t="shared" si="29"/>
        <v>-1.4810335283858223E-2</v>
      </c>
    </row>
    <row r="904" spans="1:15">
      <c r="A904" s="105">
        <v>44579</v>
      </c>
      <c r="B904" s="85">
        <v>122.15</v>
      </c>
      <c r="C904" s="85">
        <v>123</v>
      </c>
      <c r="D904" s="85">
        <v>121.23</v>
      </c>
      <c r="E904" s="85">
        <v>122.01</v>
      </c>
      <c r="F904" s="85">
        <v>476441</v>
      </c>
      <c r="G904" s="112">
        <f t="shared" si="28"/>
        <v>-1.1461318051575464E-3</v>
      </c>
      <c r="I904" s="105">
        <v>44579</v>
      </c>
      <c r="J904" s="85">
        <v>45660.87</v>
      </c>
      <c r="K904" s="85">
        <v>45761.21</v>
      </c>
      <c r="L904" s="85">
        <v>45469.46</v>
      </c>
      <c r="M904" s="85">
        <v>45507.41</v>
      </c>
      <c r="N904" s="123">
        <v>78603280</v>
      </c>
      <c r="O904" s="112">
        <f t="shared" si="29"/>
        <v>-2.2974116574072667E-3</v>
      </c>
    </row>
    <row r="905" spans="1:15">
      <c r="A905" s="105">
        <v>44578</v>
      </c>
      <c r="B905" s="85">
        <v>123.01</v>
      </c>
      <c r="C905" s="85">
        <v>123.1</v>
      </c>
      <c r="D905" s="85">
        <v>122</v>
      </c>
      <c r="E905" s="85">
        <v>122.15</v>
      </c>
      <c r="F905" s="85">
        <v>449851</v>
      </c>
      <c r="G905" s="112">
        <f t="shared" si="28"/>
        <v>-7.9590676520749915E-3</v>
      </c>
      <c r="I905" s="105">
        <v>44578</v>
      </c>
      <c r="J905" s="85">
        <v>45739.9</v>
      </c>
      <c r="K905" s="85">
        <v>45787.48</v>
      </c>
      <c r="L905" s="85">
        <v>45385.97</v>
      </c>
      <c r="M905" s="85">
        <v>45612.2</v>
      </c>
      <c r="N905" s="123">
        <v>71629937</v>
      </c>
      <c r="O905" s="112">
        <f t="shared" si="29"/>
        <v>-3.3050392835329845E-3</v>
      </c>
    </row>
    <row r="906" spans="1:15">
      <c r="A906" s="105">
        <v>44575</v>
      </c>
      <c r="B906" s="85">
        <v>121.5</v>
      </c>
      <c r="C906" s="85">
        <v>124</v>
      </c>
      <c r="D906" s="85">
        <v>121.5</v>
      </c>
      <c r="E906" s="85">
        <v>123.13</v>
      </c>
      <c r="F906" s="85">
        <v>1138299</v>
      </c>
      <c r="G906" s="112">
        <f t="shared" si="28"/>
        <v>1.3415637860082263E-2</v>
      </c>
      <c r="I906" s="105">
        <v>44575</v>
      </c>
      <c r="J906" s="85">
        <v>45832.79</v>
      </c>
      <c r="K906" s="85">
        <v>45989.23</v>
      </c>
      <c r="L906" s="85">
        <v>45734.3</v>
      </c>
      <c r="M906" s="85">
        <v>45763.45</v>
      </c>
      <c r="N906" s="123">
        <v>90202852</v>
      </c>
      <c r="O906" s="112">
        <f t="shared" si="29"/>
        <v>5.4629046919441038E-6</v>
      </c>
    </row>
    <row r="907" spans="1:15">
      <c r="A907" s="105">
        <v>44574</v>
      </c>
      <c r="B907" s="85">
        <v>122</v>
      </c>
      <c r="C907" s="85">
        <v>122.2</v>
      </c>
      <c r="D907" s="85">
        <v>121</v>
      </c>
      <c r="E907" s="85">
        <v>121.5</v>
      </c>
      <c r="F907" s="85">
        <v>143600</v>
      </c>
      <c r="G907" s="112">
        <f t="shared" si="28"/>
        <v>-7.4019245003709155E-4</v>
      </c>
      <c r="I907" s="105">
        <v>44574</v>
      </c>
      <c r="J907" s="85">
        <v>45938.81</v>
      </c>
      <c r="K907" s="85">
        <v>46002.77</v>
      </c>
      <c r="L907" s="85">
        <v>45693.8</v>
      </c>
      <c r="M907" s="85">
        <v>45763.199999999997</v>
      </c>
      <c r="N907" s="123">
        <v>130512235</v>
      </c>
      <c r="O907" s="112">
        <f t="shared" si="29"/>
        <v>-3.3332425884082806E-3</v>
      </c>
    </row>
    <row r="908" spans="1:15">
      <c r="A908" s="105">
        <v>44573</v>
      </c>
      <c r="B908" s="85">
        <v>122.75</v>
      </c>
      <c r="C908" s="85">
        <v>122.85</v>
      </c>
      <c r="D908" s="85">
        <v>121.49</v>
      </c>
      <c r="E908" s="85">
        <v>121.59</v>
      </c>
      <c r="F908" s="85">
        <v>496255</v>
      </c>
      <c r="G908" s="112">
        <f t="shared" si="28"/>
        <v>-4.747483015470233E-3</v>
      </c>
      <c r="I908" s="105">
        <v>44573</v>
      </c>
      <c r="J908" s="85">
        <v>45964.83</v>
      </c>
      <c r="K908" s="85">
        <v>46220.4</v>
      </c>
      <c r="L908" s="85">
        <v>45871.25</v>
      </c>
      <c r="M908" s="85">
        <v>45916.25</v>
      </c>
      <c r="N908" s="123">
        <v>125311623</v>
      </c>
      <c r="O908" s="112">
        <f t="shared" si="29"/>
        <v>7.6545629979030139E-4</v>
      </c>
    </row>
    <row r="909" spans="1:15">
      <c r="A909" s="105">
        <v>44572</v>
      </c>
      <c r="B909" s="85">
        <v>120.85</v>
      </c>
      <c r="C909" s="85">
        <v>122.5</v>
      </c>
      <c r="D909" s="85">
        <v>118.8</v>
      </c>
      <c r="E909" s="85">
        <v>122.17</v>
      </c>
      <c r="F909" s="85">
        <v>1852575</v>
      </c>
      <c r="G909" s="112">
        <f t="shared" si="28"/>
        <v>1.4953892165822102E-2</v>
      </c>
      <c r="I909" s="105">
        <v>44572</v>
      </c>
      <c r="J909" s="85">
        <v>45978.38</v>
      </c>
      <c r="K909" s="85">
        <v>46055.12</v>
      </c>
      <c r="L909" s="85">
        <v>45524.23</v>
      </c>
      <c r="M909" s="85">
        <v>45881.13</v>
      </c>
      <c r="N909" s="123">
        <v>102284383</v>
      </c>
      <c r="O909" s="112">
        <f t="shared" si="29"/>
        <v>-1.4165037505753375E-4</v>
      </c>
    </row>
    <row r="910" spans="1:15">
      <c r="A910" s="105">
        <v>44571</v>
      </c>
      <c r="B910" s="85">
        <v>119</v>
      </c>
      <c r="C910" s="85">
        <v>121.23</v>
      </c>
      <c r="D910" s="85">
        <v>118.03</v>
      </c>
      <c r="E910" s="85">
        <v>120.37</v>
      </c>
      <c r="F910" s="85">
        <v>2955003</v>
      </c>
      <c r="G910" s="112">
        <f t="shared" si="28"/>
        <v>1.7669935745688203E-2</v>
      </c>
      <c r="I910" s="105">
        <v>44571</v>
      </c>
      <c r="J910" s="85">
        <v>45341.32</v>
      </c>
      <c r="K910" s="85">
        <v>45969.63</v>
      </c>
      <c r="L910" s="85">
        <v>45205.18</v>
      </c>
      <c r="M910" s="85">
        <v>45887.63</v>
      </c>
      <c r="N910" s="123">
        <v>126937011</v>
      </c>
      <c r="O910" s="112">
        <f t="shared" si="29"/>
        <v>1.195219387085622E-2</v>
      </c>
    </row>
    <row r="911" spans="1:15">
      <c r="A911" s="105">
        <v>44568</v>
      </c>
      <c r="B911" s="85">
        <v>117.9</v>
      </c>
      <c r="C911" s="85">
        <v>119.5</v>
      </c>
      <c r="D911" s="85">
        <v>116.55</v>
      </c>
      <c r="E911" s="85">
        <v>118.28</v>
      </c>
      <c r="F911" s="85">
        <v>1340981</v>
      </c>
      <c r="G911" s="112">
        <f t="shared" si="28"/>
        <v>1.3538988860325674E-2</v>
      </c>
      <c r="I911" s="105">
        <v>44568</v>
      </c>
      <c r="J911" s="85">
        <v>44983.94</v>
      </c>
      <c r="K911" s="85">
        <v>45364.19</v>
      </c>
      <c r="L911" s="85">
        <v>44968.9</v>
      </c>
      <c r="M911" s="85">
        <v>45345.65</v>
      </c>
      <c r="N911" s="123">
        <v>84438023</v>
      </c>
      <c r="O911" s="112">
        <f t="shared" si="29"/>
        <v>5.8415386970052108E-3</v>
      </c>
    </row>
    <row r="912" spans="1:15">
      <c r="A912" s="105">
        <v>44567</v>
      </c>
      <c r="B912" s="85">
        <v>117.99</v>
      </c>
      <c r="C912" s="85">
        <v>118.7</v>
      </c>
      <c r="D912" s="85">
        <v>116.5</v>
      </c>
      <c r="E912" s="85">
        <v>116.7</v>
      </c>
      <c r="F912" s="85">
        <v>1361906</v>
      </c>
      <c r="G912" s="112">
        <f t="shared" si="28"/>
        <v>-7.737437292747229E-3</v>
      </c>
      <c r="I912" s="105">
        <v>44567</v>
      </c>
      <c r="J912" s="85">
        <v>45366.35</v>
      </c>
      <c r="K912" s="85">
        <v>45383.21</v>
      </c>
      <c r="L912" s="85">
        <v>45019.24</v>
      </c>
      <c r="M912" s="85">
        <v>45082.3</v>
      </c>
      <c r="N912" s="123">
        <v>133040796</v>
      </c>
      <c r="O912" s="112">
        <f t="shared" si="29"/>
        <v>-7.1703397801570201E-3</v>
      </c>
    </row>
    <row r="913" spans="1:15">
      <c r="A913" s="105">
        <v>44566</v>
      </c>
      <c r="B913" s="85">
        <v>118.7</v>
      </c>
      <c r="C913" s="85">
        <v>118.94</v>
      </c>
      <c r="D913" s="85">
        <v>117</v>
      </c>
      <c r="E913" s="85">
        <v>117.61</v>
      </c>
      <c r="F913" s="85">
        <v>184922</v>
      </c>
      <c r="G913" s="112">
        <f t="shared" si="28"/>
        <v>-3.5584173515208484E-3</v>
      </c>
      <c r="I913" s="105">
        <v>44566</v>
      </c>
      <c r="J913" s="85">
        <v>45409.3</v>
      </c>
      <c r="K913" s="85">
        <v>45438.16</v>
      </c>
      <c r="L913" s="85">
        <v>45237.3</v>
      </c>
      <c r="M913" s="85">
        <v>45407.89</v>
      </c>
      <c r="N913" s="123">
        <v>96758427</v>
      </c>
      <c r="O913" s="112">
        <f t="shared" si="29"/>
        <v>3.7562644797950462E-4</v>
      </c>
    </row>
    <row r="914" spans="1:15">
      <c r="A914" s="105">
        <v>44565</v>
      </c>
      <c r="B914" s="85">
        <v>117.1</v>
      </c>
      <c r="C914" s="85">
        <v>119</v>
      </c>
      <c r="D914" s="85">
        <v>117.1</v>
      </c>
      <c r="E914" s="85">
        <v>118.03</v>
      </c>
      <c r="F914" s="85">
        <v>916386</v>
      </c>
      <c r="G914" s="112">
        <f t="shared" si="28"/>
        <v>8.5448175681448468E-3</v>
      </c>
      <c r="I914" s="105">
        <v>44565</v>
      </c>
      <c r="J914" s="85">
        <v>44997.120000000003</v>
      </c>
      <c r="K914" s="85">
        <v>45407.16</v>
      </c>
      <c r="L914" s="85">
        <v>44996.09</v>
      </c>
      <c r="M914" s="85">
        <v>45390.84</v>
      </c>
      <c r="N914" s="123">
        <v>134270525</v>
      </c>
      <c r="O914" s="112">
        <f t="shared" si="29"/>
        <v>1.122710885071343E-2</v>
      </c>
    </row>
    <row r="915" spans="1:15">
      <c r="A915" s="105">
        <v>44564</v>
      </c>
      <c r="B915" s="85">
        <v>117</v>
      </c>
      <c r="C915" s="85">
        <v>117.9</v>
      </c>
      <c r="D915" s="85">
        <v>116.5</v>
      </c>
      <c r="E915" s="85">
        <v>117.03</v>
      </c>
      <c r="F915" s="85">
        <v>405791</v>
      </c>
      <c r="G915" s="112">
        <f t="shared" si="28"/>
        <v>3.5156919910821482E-3</v>
      </c>
      <c r="I915" s="105">
        <v>44564</v>
      </c>
      <c r="J915" s="85">
        <v>44593.11</v>
      </c>
      <c r="K915" s="85">
        <v>44906.98</v>
      </c>
      <c r="L915" s="85">
        <v>44509.56</v>
      </c>
      <c r="M915" s="85">
        <v>44886.89</v>
      </c>
      <c r="N915" s="123">
        <v>92829639</v>
      </c>
      <c r="O915" s="112">
        <f t="shared" si="29"/>
        <v>6.5212024288239245E-3</v>
      </c>
    </row>
    <row r="916" spans="1:15">
      <c r="A916" s="105">
        <v>44561</v>
      </c>
      <c r="B916" s="85">
        <v>115.3</v>
      </c>
      <c r="C916" s="85">
        <v>117.5</v>
      </c>
      <c r="D916" s="85">
        <v>114.31</v>
      </c>
      <c r="E916" s="85">
        <v>116.62</v>
      </c>
      <c r="F916" s="85">
        <v>2886976</v>
      </c>
      <c r="G916" s="112">
        <f t="shared" si="28"/>
        <v>1.5411406181976561E-2</v>
      </c>
      <c r="I916" s="105">
        <v>44561</v>
      </c>
      <c r="J916" s="85">
        <v>44426.7</v>
      </c>
      <c r="K916" s="85">
        <v>44649.03</v>
      </c>
      <c r="L916" s="85">
        <v>44307.27</v>
      </c>
      <c r="M916" s="85">
        <v>44596.07</v>
      </c>
      <c r="N916" s="123">
        <v>153756188</v>
      </c>
      <c r="O916" s="112">
        <f t="shared" si="29"/>
        <v>4.0496485516545722E-3</v>
      </c>
    </row>
    <row r="917" spans="1:15">
      <c r="A917" s="105">
        <v>44560</v>
      </c>
      <c r="B917" s="85">
        <v>115</v>
      </c>
      <c r="C917" s="85">
        <v>115.9</v>
      </c>
      <c r="D917" s="85">
        <v>114.3</v>
      </c>
      <c r="E917" s="85">
        <v>114.85</v>
      </c>
      <c r="F917" s="85">
        <v>2189778</v>
      </c>
      <c r="G917" s="112">
        <f t="shared" si="28"/>
        <v>-1.3043478260870156E-3</v>
      </c>
      <c r="I917" s="105">
        <v>44560</v>
      </c>
      <c r="J917" s="85">
        <v>44433.86</v>
      </c>
      <c r="K917" s="85">
        <v>44595.85</v>
      </c>
      <c r="L917" s="85">
        <v>44319.83</v>
      </c>
      <c r="M917" s="85">
        <v>44416.2</v>
      </c>
      <c r="N917" s="123">
        <v>121310195</v>
      </c>
      <c r="O917" s="112">
        <f t="shared" si="29"/>
        <v>3.5266518768253263E-3</v>
      </c>
    </row>
    <row r="918" spans="1:15">
      <c r="A918" s="105">
        <v>44559</v>
      </c>
      <c r="B918" s="85">
        <v>116.57</v>
      </c>
      <c r="C918" s="85">
        <v>116.57</v>
      </c>
      <c r="D918" s="85">
        <v>114.8</v>
      </c>
      <c r="E918" s="85">
        <v>115</v>
      </c>
      <c r="F918" s="85">
        <v>1639485</v>
      </c>
      <c r="G918" s="112">
        <f t="shared" si="28"/>
        <v>-8.6206896551723755E-3</v>
      </c>
      <c r="I918" s="105">
        <v>44559</v>
      </c>
      <c r="J918" s="85">
        <v>44003.77</v>
      </c>
      <c r="K918" s="85">
        <v>44267.199999999997</v>
      </c>
      <c r="L918" s="85">
        <v>43941.64</v>
      </c>
      <c r="M918" s="85">
        <v>44260.11</v>
      </c>
      <c r="N918" s="123">
        <v>136249887</v>
      </c>
      <c r="O918" s="112">
        <f t="shared" si="29"/>
        <v>4.9126164126842564E-3</v>
      </c>
    </row>
    <row r="919" spans="1:15">
      <c r="A919" s="105">
        <v>44558</v>
      </c>
      <c r="B919" s="85">
        <v>116.88</v>
      </c>
      <c r="C919" s="85">
        <v>116.9</v>
      </c>
      <c r="D919" s="85">
        <v>115.2</v>
      </c>
      <c r="E919" s="85">
        <v>116</v>
      </c>
      <c r="F919" s="85">
        <v>745571</v>
      </c>
      <c r="G919" s="112">
        <f t="shared" si="28"/>
        <v>-1.3774104683195176E-3</v>
      </c>
      <c r="I919" s="105">
        <v>44558</v>
      </c>
      <c r="J919" s="85">
        <v>43967.77</v>
      </c>
      <c r="K919" s="85">
        <v>44117.17</v>
      </c>
      <c r="L919" s="85">
        <v>43906.26</v>
      </c>
      <c r="M919" s="85">
        <v>44043.74</v>
      </c>
      <c r="N919" s="123">
        <v>63135884</v>
      </c>
      <c r="O919" s="112">
        <f t="shared" si="29"/>
        <v>2.9672009298291613E-3</v>
      </c>
    </row>
    <row r="920" spans="1:15">
      <c r="A920" s="105">
        <v>44557</v>
      </c>
      <c r="B920" s="85">
        <v>117.91</v>
      </c>
      <c r="C920" s="85">
        <v>117.91</v>
      </c>
      <c r="D920" s="85">
        <v>116</v>
      </c>
      <c r="E920" s="85">
        <v>116.16</v>
      </c>
      <c r="F920" s="85">
        <v>379513</v>
      </c>
      <c r="G920" s="112">
        <f t="shared" si="28"/>
        <v>-5.479452054794498E-3</v>
      </c>
      <c r="I920" s="105">
        <v>44557</v>
      </c>
      <c r="J920" s="85">
        <v>44131.22</v>
      </c>
      <c r="K920" s="85">
        <v>44171.96</v>
      </c>
      <c r="L920" s="85">
        <v>43846.01</v>
      </c>
      <c r="M920" s="85">
        <v>43913.440000000002</v>
      </c>
      <c r="N920" s="123">
        <v>53456464</v>
      </c>
      <c r="O920" s="112">
        <f t="shared" si="29"/>
        <v>-4.6454551038692671E-3</v>
      </c>
    </row>
    <row r="921" spans="1:15">
      <c r="A921" s="105">
        <v>44554</v>
      </c>
      <c r="B921" s="85">
        <v>117.8</v>
      </c>
      <c r="C921" s="85">
        <v>117.8</v>
      </c>
      <c r="D921" s="85">
        <v>116.51</v>
      </c>
      <c r="E921" s="85">
        <v>116.8</v>
      </c>
      <c r="F921" s="85">
        <v>321524</v>
      </c>
      <c r="G921" s="112">
        <f t="shared" si="28"/>
        <v>-4.6020112493608822E-3</v>
      </c>
      <c r="I921" s="105">
        <v>44554</v>
      </c>
      <c r="J921" s="85">
        <v>44283.51</v>
      </c>
      <c r="K921" s="85">
        <v>44468.89</v>
      </c>
      <c r="L921" s="85">
        <v>44040.84</v>
      </c>
      <c r="M921" s="85">
        <v>44118.39</v>
      </c>
      <c r="N921" s="123">
        <v>70961849</v>
      </c>
      <c r="O921" s="112">
        <f t="shared" si="29"/>
        <v>-3.3548768944742235E-3</v>
      </c>
    </row>
    <row r="922" spans="1:15">
      <c r="A922" s="105">
        <v>44553</v>
      </c>
      <c r="B922" s="85">
        <v>116.57</v>
      </c>
      <c r="C922" s="85">
        <v>118.5</v>
      </c>
      <c r="D922" s="85">
        <v>116.57</v>
      </c>
      <c r="E922" s="85">
        <v>117.34</v>
      </c>
      <c r="F922" s="85">
        <v>801572</v>
      </c>
      <c r="G922" s="112">
        <f t="shared" si="28"/>
        <v>-5.508941435714787E-3</v>
      </c>
      <c r="I922" s="105">
        <v>44553</v>
      </c>
      <c r="J922" s="85">
        <v>44234.48</v>
      </c>
      <c r="K922" s="85">
        <v>44447.73</v>
      </c>
      <c r="L922" s="85">
        <v>44108.69</v>
      </c>
      <c r="M922" s="85">
        <v>44266.9</v>
      </c>
      <c r="N922" s="123">
        <v>85053428</v>
      </c>
      <c r="O922" s="112">
        <f t="shared" si="29"/>
        <v>2.0810427262316633E-3</v>
      </c>
    </row>
    <row r="923" spans="1:15">
      <c r="A923" s="105">
        <v>44552</v>
      </c>
      <c r="B923" s="85">
        <v>118.7</v>
      </c>
      <c r="C923" s="85">
        <v>118.7</v>
      </c>
      <c r="D923" s="85">
        <v>117</v>
      </c>
      <c r="E923" s="85">
        <v>117.99</v>
      </c>
      <c r="F923" s="85">
        <v>761750</v>
      </c>
      <c r="G923" s="112">
        <f t="shared" si="28"/>
        <v>2.5490695895997728E-3</v>
      </c>
      <c r="I923" s="105">
        <v>44552</v>
      </c>
      <c r="J923" s="85">
        <v>44235.88</v>
      </c>
      <c r="K923" s="85">
        <v>44292.91</v>
      </c>
      <c r="L923" s="85">
        <v>44091.199999999997</v>
      </c>
      <c r="M923" s="85">
        <v>44174.97</v>
      </c>
      <c r="N923" s="123">
        <v>68020357</v>
      </c>
      <c r="O923" s="112">
        <f t="shared" si="29"/>
        <v>-4.7535972847456698E-5</v>
      </c>
    </row>
    <row r="924" spans="1:15">
      <c r="A924" s="105">
        <v>44551</v>
      </c>
      <c r="B924" s="85">
        <v>118</v>
      </c>
      <c r="C924" s="85">
        <v>119.02</v>
      </c>
      <c r="D924" s="85">
        <v>117.21</v>
      </c>
      <c r="E924" s="85">
        <v>117.69</v>
      </c>
      <c r="F924" s="85">
        <v>533753</v>
      </c>
      <c r="G924" s="112">
        <f t="shared" si="28"/>
        <v>-7.1705753332209632E-3</v>
      </c>
      <c r="I924" s="105">
        <v>44551</v>
      </c>
      <c r="J924" s="85">
        <v>44416.84</v>
      </c>
      <c r="K924" s="85">
        <v>44594.66</v>
      </c>
      <c r="L924" s="85">
        <v>44118.19</v>
      </c>
      <c r="M924" s="85">
        <v>44177.07</v>
      </c>
      <c r="N924" s="123">
        <v>98460875</v>
      </c>
      <c r="O924" s="112">
        <f t="shared" si="29"/>
        <v>-3.6734367088820941E-3</v>
      </c>
    </row>
    <row r="925" spans="1:15">
      <c r="A925" s="105">
        <v>44550</v>
      </c>
      <c r="B925" s="85">
        <v>118.95</v>
      </c>
      <c r="C925" s="85">
        <v>120.1</v>
      </c>
      <c r="D925" s="85">
        <v>117.1</v>
      </c>
      <c r="E925" s="85">
        <v>118.54</v>
      </c>
      <c r="F925" s="85">
        <v>1565638</v>
      </c>
      <c r="G925" s="112">
        <f t="shared" si="28"/>
        <v>4.2358522534733378E-3</v>
      </c>
      <c r="I925" s="105">
        <v>44550</v>
      </c>
      <c r="J925" s="85">
        <v>43926.85</v>
      </c>
      <c r="K925" s="85">
        <v>44484.76</v>
      </c>
      <c r="L925" s="85">
        <v>43808.84</v>
      </c>
      <c r="M925" s="85">
        <v>44339.95</v>
      </c>
      <c r="N925" s="123">
        <v>118592687</v>
      </c>
      <c r="O925" s="112">
        <f t="shared" si="29"/>
        <v>1.0005995351324737E-2</v>
      </c>
    </row>
    <row r="926" spans="1:15">
      <c r="A926" s="105">
        <v>44547</v>
      </c>
      <c r="B926" s="85">
        <v>116.7</v>
      </c>
      <c r="C926" s="85">
        <v>118.55</v>
      </c>
      <c r="D926" s="85">
        <v>114.5</v>
      </c>
      <c r="E926" s="85">
        <v>118.04</v>
      </c>
      <c r="F926" s="85">
        <v>1652856</v>
      </c>
      <c r="G926" s="112">
        <f t="shared" si="28"/>
        <v>2.0665801988759114E-2</v>
      </c>
      <c r="I926" s="105">
        <v>44547</v>
      </c>
      <c r="J926" s="85">
        <v>43728.23</v>
      </c>
      <c r="K926" s="85">
        <v>44000.95</v>
      </c>
      <c r="L926" s="85">
        <v>43556.58</v>
      </c>
      <c r="M926" s="85">
        <v>43900.68</v>
      </c>
      <c r="N926" s="123">
        <v>105080742</v>
      </c>
      <c r="O926" s="112">
        <f t="shared" si="29"/>
        <v>3.8754939265330801E-3</v>
      </c>
    </row>
    <row r="927" spans="1:15">
      <c r="A927" s="105">
        <v>44546</v>
      </c>
      <c r="B927" s="85">
        <v>119.25</v>
      </c>
      <c r="C927" s="85">
        <v>119.75</v>
      </c>
      <c r="D927" s="85">
        <v>115</v>
      </c>
      <c r="E927" s="85">
        <v>115.65</v>
      </c>
      <c r="F927" s="85">
        <v>2280425</v>
      </c>
      <c r="G927" s="112">
        <f t="shared" si="28"/>
        <v>-2.7742749054224469E-2</v>
      </c>
      <c r="I927" s="105">
        <v>44546</v>
      </c>
      <c r="J927" s="85">
        <v>44386.96</v>
      </c>
      <c r="K927" s="85">
        <v>44395.96</v>
      </c>
      <c r="L927" s="85">
        <v>43605.96</v>
      </c>
      <c r="M927" s="85">
        <v>43731.199999999997</v>
      </c>
      <c r="N927" s="123">
        <v>124153448</v>
      </c>
      <c r="O927" s="112">
        <f t="shared" si="29"/>
        <v>-1.4327360556956381E-2</v>
      </c>
    </row>
    <row r="928" spans="1:15">
      <c r="A928" s="105">
        <v>44545</v>
      </c>
      <c r="B928" s="85">
        <v>119.96</v>
      </c>
      <c r="C928" s="85">
        <v>120</v>
      </c>
      <c r="D928" s="85">
        <v>118.51</v>
      </c>
      <c r="E928" s="85">
        <v>118.95</v>
      </c>
      <c r="F928" s="85">
        <v>1795873</v>
      </c>
      <c r="G928" s="112">
        <f t="shared" si="28"/>
        <v>-3.685400787335591E-3</v>
      </c>
      <c r="I928" s="105">
        <v>44545</v>
      </c>
      <c r="J928" s="85">
        <v>43771.5</v>
      </c>
      <c r="K928" s="85">
        <v>44507.51</v>
      </c>
      <c r="L928" s="85">
        <v>43672.480000000003</v>
      </c>
      <c r="M928" s="85">
        <v>44366.86</v>
      </c>
      <c r="N928" s="123">
        <v>178349476</v>
      </c>
      <c r="O928" s="112">
        <f t="shared" si="29"/>
        <v>2.5901392267758672E-2</v>
      </c>
    </row>
    <row r="929" spans="1:15">
      <c r="A929" s="105">
        <v>44544</v>
      </c>
      <c r="B929" s="85">
        <v>119.49</v>
      </c>
      <c r="C929" s="85">
        <v>120.75</v>
      </c>
      <c r="D929" s="85">
        <v>118</v>
      </c>
      <c r="E929" s="85">
        <v>119.39</v>
      </c>
      <c r="F929" s="85">
        <v>2087508</v>
      </c>
      <c r="G929" s="112">
        <f t="shared" si="28"/>
        <v>8.3829323497353059E-4</v>
      </c>
      <c r="I929" s="105">
        <v>44544</v>
      </c>
      <c r="J929" s="85">
        <v>43017.57</v>
      </c>
      <c r="K929" s="85">
        <v>43265.8</v>
      </c>
      <c r="L929" s="85">
        <v>42710.12</v>
      </c>
      <c r="M929" s="85">
        <v>43246.71</v>
      </c>
      <c r="N929" s="123">
        <v>92577271</v>
      </c>
      <c r="O929" s="112">
        <f t="shared" si="29"/>
        <v>8.6373916448616583E-3</v>
      </c>
    </row>
    <row r="930" spans="1:15">
      <c r="A930" s="105">
        <v>44543</v>
      </c>
      <c r="B930" s="85">
        <v>120.43</v>
      </c>
      <c r="C930" s="85">
        <v>120.5</v>
      </c>
      <c r="D930" s="85">
        <v>118.65</v>
      </c>
      <c r="E930" s="85">
        <v>119.29</v>
      </c>
      <c r="F930" s="85">
        <v>803835</v>
      </c>
      <c r="G930" s="112">
        <f t="shared" si="28"/>
        <v>-2.425154708145083E-3</v>
      </c>
      <c r="I930" s="105">
        <v>44543</v>
      </c>
      <c r="J930" s="85">
        <v>43427.61</v>
      </c>
      <c r="K930" s="85">
        <v>43478.62</v>
      </c>
      <c r="L930" s="85">
        <v>42803.83</v>
      </c>
      <c r="M930" s="85">
        <v>42876.37</v>
      </c>
      <c r="N930" s="123">
        <v>71267282</v>
      </c>
      <c r="O930" s="112">
        <f t="shared" si="29"/>
        <v>-1.1969136169461603E-2</v>
      </c>
    </row>
    <row r="931" spans="1:15">
      <c r="A931" s="105">
        <v>44540</v>
      </c>
      <c r="B931" s="85">
        <v>121.8</v>
      </c>
      <c r="C931" s="85">
        <v>121.8</v>
      </c>
      <c r="D931" s="85">
        <v>119.46</v>
      </c>
      <c r="E931" s="85">
        <v>119.58</v>
      </c>
      <c r="F931" s="85">
        <v>1030716</v>
      </c>
      <c r="G931" s="112">
        <f t="shared" si="28"/>
        <v>-8.1287325812873235E-3</v>
      </c>
      <c r="I931" s="105">
        <v>44540</v>
      </c>
      <c r="J931" s="85">
        <v>43592.01</v>
      </c>
      <c r="K931" s="85">
        <v>43607.51</v>
      </c>
      <c r="L931" s="85">
        <v>43044.99</v>
      </c>
      <c r="M931" s="85">
        <v>43395.78</v>
      </c>
      <c r="N931" s="123">
        <v>82480882</v>
      </c>
      <c r="O931" s="112">
        <f t="shared" si="29"/>
        <v>-2.827740812944457E-3</v>
      </c>
    </row>
    <row r="932" spans="1:15">
      <c r="A932" s="105">
        <v>44539</v>
      </c>
      <c r="B932" s="85">
        <v>122.95</v>
      </c>
      <c r="C932" s="85">
        <v>122.95</v>
      </c>
      <c r="D932" s="85">
        <v>118.91</v>
      </c>
      <c r="E932" s="85">
        <v>120.56</v>
      </c>
      <c r="F932" s="85">
        <v>1054086</v>
      </c>
      <c r="G932" s="112">
        <f t="shared" si="28"/>
        <v>-1.5032679738562149E-2</v>
      </c>
      <c r="I932" s="105">
        <v>44539</v>
      </c>
      <c r="J932" s="85">
        <v>43975.4</v>
      </c>
      <c r="K932" s="85">
        <v>43997.73</v>
      </c>
      <c r="L932" s="85">
        <v>43273.760000000002</v>
      </c>
      <c r="M932" s="85">
        <v>43518.84</v>
      </c>
      <c r="N932" s="123">
        <v>97403386</v>
      </c>
      <c r="O932" s="112">
        <f t="shared" si="29"/>
        <v>-7.4812637709374963E-3</v>
      </c>
    </row>
    <row r="933" spans="1:15">
      <c r="A933" s="105">
        <v>44538</v>
      </c>
      <c r="B933" s="85">
        <v>122.95</v>
      </c>
      <c r="C933" s="85">
        <v>123.85</v>
      </c>
      <c r="D933" s="85">
        <v>121.15</v>
      </c>
      <c r="E933" s="85">
        <v>122.4</v>
      </c>
      <c r="F933" s="85">
        <v>2355553</v>
      </c>
      <c r="G933" s="112">
        <f t="shared" si="28"/>
        <v>-1.3054830287205776E-3</v>
      </c>
      <c r="I933" s="105">
        <v>44538</v>
      </c>
      <c r="J933" s="85">
        <v>44059.9</v>
      </c>
      <c r="K933" s="85">
        <v>44139.22</v>
      </c>
      <c r="L933" s="85">
        <v>43652.29</v>
      </c>
      <c r="M933" s="85">
        <v>43846.87</v>
      </c>
      <c r="N933" s="123">
        <v>73487620</v>
      </c>
      <c r="O933" s="112">
        <f t="shared" si="29"/>
        <v>-1.5095719861735191E-4</v>
      </c>
    </row>
    <row r="934" spans="1:15">
      <c r="A934" s="105">
        <v>44537</v>
      </c>
      <c r="B934" s="85">
        <v>122.9</v>
      </c>
      <c r="C934" s="85">
        <v>124</v>
      </c>
      <c r="D934" s="85">
        <v>121.5</v>
      </c>
      <c r="E934" s="85">
        <v>122.56</v>
      </c>
      <c r="F934" s="85">
        <v>2059729</v>
      </c>
      <c r="G934" s="112">
        <f t="shared" si="28"/>
        <v>9.3888980398615374E-3</v>
      </c>
      <c r="I934" s="105">
        <v>44537</v>
      </c>
      <c r="J934" s="85">
        <v>43358.74</v>
      </c>
      <c r="K934" s="85">
        <v>44066.16</v>
      </c>
      <c r="L934" s="85">
        <v>43334.94</v>
      </c>
      <c r="M934" s="85">
        <v>43853.49</v>
      </c>
      <c r="N934" s="123">
        <v>89333224</v>
      </c>
      <c r="O934" s="112">
        <f t="shared" si="29"/>
        <v>1.3232666609212407E-2</v>
      </c>
    </row>
    <row r="935" spans="1:15">
      <c r="A935" s="105">
        <v>44536</v>
      </c>
      <c r="B935" s="85">
        <v>123.9</v>
      </c>
      <c r="C935" s="85">
        <v>123.95</v>
      </c>
      <c r="D935" s="85">
        <v>121.06</v>
      </c>
      <c r="E935" s="85">
        <v>121.42</v>
      </c>
      <c r="F935" s="85">
        <v>1012588</v>
      </c>
      <c r="G935" s="112">
        <f t="shared" si="28"/>
        <v>-1.4448051948051988E-2</v>
      </c>
      <c r="I935" s="105">
        <v>44536</v>
      </c>
      <c r="J935" s="85">
        <v>43382.22</v>
      </c>
      <c r="K935" s="85">
        <v>43556.27</v>
      </c>
      <c r="L935" s="85">
        <v>42972.02</v>
      </c>
      <c r="M935" s="85">
        <v>43280.77</v>
      </c>
      <c r="N935" s="123">
        <v>74061338</v>
      </c>
      <c r="O935" s="112">
        <f t="shared" si="29"/>
        <v>1.1088795251199546E-3</v>
      </c>
    </row>
    <row r="936" spans="1:15">
      <c r="A936" s="105">
        <v>44533</v>
      </c>
      <c r="B936" s="85">
        <v>118.9</v>
      </c>
      <c r="C936" s="85">
        <v>124.23</v>
      </c>
      <c r="D936" s="85">
        <v>117.15</v>
      </c>
      <c r="E936" s="85">
        <v>123.2</v>
      </c>
      <c r="F936" s="85">
        <v>3277436</v>
      </c>
      <c r="G936" s="112">
        <f t="shared" si="28"/>
        <v>3.0789825970549023E-2</v>
      </c>
      <c r="I936" s="105">
        <v>44533</v>
      </c>
      <c r="J936" s="85">
        <v>42881.87</v>
      </c>
      <c r="K936" s="85">
        <v>43590.86</v>
      </c>
      <c r="L936" s="85">
        <v>42752.76</v>
      </c>
      <c r="M936" s="85">
        <v>43232.83</v>
      </c>
      <c r="N936" s="123">
        <v>139331967</v>
      </c>
      <c r="O936" s="112">
        <f t="shared" si="29"/>
        <v>-3.0531420185164748E-5</v>
      </c>
    </row>
    <row r="937" spans="1:15">
      <c r="A937" s="105">
        <v>44532</v>
      </c>
      <c r="B937" s="85">
        <v>123.99</v>
      </c>
      <c r="C937" s="85">
        <v>124.04</v>
      </c>
      <c r="D937" s="85">
        <v>117.5</v>
      </c>
      <c r="E937" s="85">
        <v>119.52</v>
      </c>
      <c r="F937" s="85">
        <v>2946383</v>
      </c>
      <c r="G937" s="112">
        <f t="shared" si="28"/>
        <v>-4.1309055907596148E-2</v>
      </c>
      <c r="I937" s="105">
        <v>44532</v>
      </c>
      <c r="J937" s="85">
        <v>45225.08</v>
      </c>
      <c r="K937" s="85">
        <v>45225.08</v>
      </c>
      <c r="L937" s="85">
        <v>43086.91</v>
      </c>
      <c r="M937" s="85">
        <v>43234.15</v>
      </c>
      <c r="N937" s="123">
        <v>213437001</v>
      </c>
      <c r="O937" s="112">
        <f t="shared" si="29"/>
        <v>-4.7058198590495648E-2</v>
      </c>
    </row>
    <row r="938" spans="1:15">
      <c r="A938" s="105">
        <v>44531</v>
      </c>
      <c r="B938" s="85">
        <v>125</v>
      </c>
      <c r="C938" s="85">
        <v>125.5</v>
      </c>
      <c r="D938" s="85">
        <v>122.11</v>
      </c>
      <c r="E938" s="85">
        <v>124.67</v>
      </c>
      <c r="F938" s="85">
        <v>2901710</v>
      </c>
      <c r="G938" s="112">
        <f t="shared" si="28"/>
        <v>1.070125658694776E-2</v>
      </c>
      <c r="I938" s="105">
        <v>44531</v>
      </c>
      <c r="J938" s="85">
        <v>45218.91</v>
      </c>
      <c r="K938" s="85">
        <v>45460.73</v>
      </c>
      <c r="L938" s="85">
        <v>45150.720000000001</v>
      </c>
      <c r="M938" s="85">
        <v>45369.14</v>
      </c>
      <c r="N938" s="123">
        <v>85036666</v>
      </c>
      <c r="O938" s="112">
        <f t="shared" si="29"/>
        <v>6.5840765453255568E-3</v>
      </c>
    </row>
    <row r="939" spans="1:15">
      <c r="A939" s="105">
        <v>44530</v>
      </c>
      <c r="B939" s="85">
        <v>126.89</v>
      </c>
      <c r="C939" s="85">
        <v>127.75</v>
      </c>
      <c r="D939" s="85">
        <v>120.01</v>
      </c>
      <c r="E939" s="85">
        <v>123.35</v>
      </c>
      <c r="F939" s="85">
        <v>31480344</v>
      </c>
      <c r="G939" s="112">
        <f t="shared" si="28"/>
        <v>-1.4461489293704055E-2</v>
      </c>
      <c r="I939" s="105">
        <v>44530</v>
      </c>
      <c r="J939" s="85">
        <v>45511.46</v>
      </c>
      <c r="K939" s="85">
        <v>45757.599999999999</v>
      </c>
      <c r="L939" s="85">
        <v>44727.96</v>
      </c>
      <c r="M939" s="85">
        <v>45072.38</v>
      </c>
      <c r="N939" s="123">
        <v>266877538</v>
      </c>
      <c r="O939" s="112">
        <f t="shared" si="29"/>
        <v>-5.6843087532443271E-3</v>
      </c>
    </row>
    <row r="940" spans="1:15">
      <c r="A940" s="105">
        <v>44529</v>
      </c>
      <c r="B940" s="85">
        <v>118.1</v>
      </c>
      <c r="C940" s="85">
        <v>126.9</v>
      </c>
      <c r="D940" s="85">
        <v>118.1</v>
      </c>
      <c r="E940" s="85">
        <v>125.16</v>
      </c>
      <c r="F940" s="85">
        <v>5093343</v>
      </c>
      <c r="G940" s="112">
        <f t="shared" si="28"/>
        <v>4.7977895001255932E-2</v>
      </c>
      <c r="I940" s="105">
        <v>44529</v>
      </c>
      <c r="J940" s="85">
        <v>44027.519999999997</v>
      </c>
      <c r="K940" s="85">
        <v>45416.99</v>
      </c>
      <c r="L940" s="85">
        <v>43933.5</v>
      </c>
      <c r="M940" s="85">
        <v>45330.05</v>
      </c>
      <c r="N940" s="123">
        <v>109625271</v>
      </c>
      <c r="O940" s="112">
        <f t="shared" si="29"/>
        <v>2.7562351861624368E-2</v>
      </c>
    </row>
    <row r="941" spans="1:15">
      <c r="A941" s="105">
        <v>44526</v>
      </c>
      <c r="B941" s="85">
        <v>116.1</v>
      </c>
      <c r="C941" s="85">
        <v>120.74</v>
      </c>
      <c r="D941" s="85">
        <v>116.1</v>
      </c>
      <c r="E941" s="85">
        <v>119.43</v>
      </c>
      <c r="F941" s="85">
        <v>3450455</v>
      </c>
      <c r="G941" s="112">
        <f t="shared" si="28"/>
        <v>1.6166085254828655E-2</v>
      </c>
      <c r="I941" s="105">
        <v>44526</v>
      </c>
      <c r="J941" s="85">
        <v>43939.74</v>
      </c>
      <c r="K941" s="85">
        <v>44333.71</v>
      </c>
      <c r="L941" s="85">
        <v>43735.71</v>
      </c>
      <c r="M941" s="85">
        <v>44114.16</v>
      </c>
      <c r="N941" s="123">
        <v>116969213</v>
      </c>
      <c r="O941" s="112">
        <f t="shared" si="29"/>
        <v>4.0607022754819422E-3</v>
      </c>
    </row>
    <row r="942" spans="1:15">
      <c r="A942" s="105">
        <v>44525</v>
      </c>
      <c r="B942" s="85">
        <v>120.87</v>
      </c>
      <c r="C942" s="85">
        <v>120.87</v>
      </c>
      <c r="D942" s="85">
        <v>116</v>
      </c>
      <c r="E942" s="85">
        <v>117.53</v>
      </c>
      <c r="F942" s="85">
        <v>4966495</v>
      </c>
      <c r="G942" s="112">
        <f t="shared" si="28"/>
        <v>-2.1806075738660002E-2</v>
      </c>
      <c r="I942" s="105">
        <v>44525</v>
      </c>
      <c r="J942" s="85">
        <v>44412.88</v>
      </c>
      <c r="K942" s="85">
        <v>44516.82</v>
      </c>
      <c r="L942" s="85">
        <v>43734.79</v>
      </c>
      <c r="M942" s="85">
        <v>43935.75</v>
      </c>
      <c r="N942" s="123">
        <v>97335744</v>
      </c>
      <c r="O942" s="112">
        <f t="shared" si="29"/>
        <v>-9.6464000973768282E-3</v>
      </c>
    </row>
    <row r="943" spans="1:15">
      <c r="A943" s="105">
        <v>44524</v>
      </c>
      <c r="B943" s="85">
        <v>123.05</v>
      </c>
      <c r="C943" s="85">
        <v>123.05</v>
      </c>
      <c r="D943" s="85">
        <v>119.57</v>
      </c>
      <c r="E943" s="85">
        <v>120.15</v>
      </c>
      <c r="F943" s="85">
        <v>3810386</v>
      </c>
      <c r="G943" s="112">
        <f t="shared" si="28"/>
        <v>-2.5310294475541451E-2</v>
      </c>
      <c r="I943" s="105">
        <v>44524</v>
      </c>
      <c r="J943" s="85">
        <v>44952.92</v>
      </c>
      <c r="K943" s="85">
        <v>44984.28</v>
      </c>
      <c r="L943" s="85">
        <v>44207.83</v>
      </c>
      <c r="M943" s="85">
        <v>44363.7</v>
      </c>
      <c r="N943" s="123">
        <v>140130347</v>
      </c>
      <c r="O943" s="112">
        <f t="shared" si="29"/>
        <v>-1.3010884451812865E-2</v>
      </c>
    </row>
    <row r="944" spans="1:15">
      <c r="A944" s="105">
        <v>44523</v>
      </c>
      <c r="B944" s="85">
        <v>124.5</v>
      </c>
      <c r="C944" s="85">
        <v>124.5</v>
      </c>
      <c r="D944" s="85">
        <v>122.4</v>
      </c>
      <c r="E944" s="85">
        <v>123.27</v>
      </c>
      <c r="F944" s="85">
        <v>1852315</v>
      </c>
      <c r="G944" s="112">
        <f t="shared" si="28"/>
        <v>-1.130895091434081E-2</v>
      </c>
      <c r="I944" s="105">
        <v>44523</v>
      </c>
      <c r="J944" s="85">
        <v>45842.98</v>
      </c>
      <c r="K944" s="85">
        <v>45916.28</v>
      </c>
      <c r="L944" s="85">
        <v>44881.11</v>
      </c>
      <c r="M944" s="85">
        <v>44948.52</v>
      </c>
      <c r="N944" s="123">
        <v>110558838</v>
      </c>
      <c r="O944" s="112">
        <f t="shared" si="29"/>
        <v>-1.741130178161554E-2</v>
      </c>
    </row>
    <row r="945" spans="1:15">
      <c r="A945" s="105">
        <v>44522</v>
      </c>
      <c r="B945" s="85">
        <v>128</v>
      </c>
      <c r="C945" s="85">
        <v>129.1</v>
      </c>
      <c r="D945" s="85">
        <v>123.52</v>
      </c>
      <c r="E945" s="85">
        <v>124.68</v>
      </c>
      <c r="F945" s="85">
        <v>4487112</v>
      </c>
      <c r="G945" s="112">
        <f t="shared" si="28"/>
        <v>-9.3754965835054493E-3</v>
      </c>
      <c r="I945" s="105">
        <v>44522</v>
      </c>
      <c r="J945" s="85">
        <v>46528.03</v>
      </c>
      <c r="K945" s="85">
        <v>46602.59</v>
      </c>
      <c r="L945" s="85">
        <v>45716.6</v>
      </c>
      <c r="M945" s="85">
        <v>45745</v>
      </c>
      <c r="N945" s="123">
        <v>126432858</v>
      </c>
      <c r="O945" s="112">
        <f t="shared" si="29"/>
        <v>-1.6012463913824715E-2</v>
      </c>
    </row>
    <row r="946" spans="1:15">
      <c r="A946" s="105">
        <v>44519</v>
      </c>
      <c r="B946" s="85">
        <v>123.6</v>
      </c>
      <c r="C946" s="85">
        <v>126.9</v>
      </c>
      <c r="D946" s="85">
        <v>123.6</v>
      </c>
      <c r="E946" s="85">
        <v>125.86</v>
      </c>
      <c r="F946" s="85">
        <v>3135415</v>
      </c>
      <c r="G946" s="112">
        <f t="shared" si="28"/>
        <v>1.6804007109387564E-2</v>
      </c>
      <c r="I946" s="105">
        <v>44519</v>
      </c>
      <c r="J946" s="85">
        <v>46055.11</v>
      </c>
      <c r="K946" s="85">
        <v>46601.79</v>
      </c>
      <c r="L946" s="85">
        <v>46001.41</v>
      </c>
      <c r="M946" s="85">
        <v>46489.41</v>
      </c>
      <c r="N946" s="123">
        <v>128242556</v>
      </c>
      <c r="O946" s="112">
        <f t="shared" si="29"/>
        <v>8.2174342069594175E-3</v>
      </c>
    </row>
    <row r="947" spans="1:15">
      <c r="A947" s="105">
        <v>44518</v>
      </c>
      <c r="B947" s="85">
        <v>125</v>
      </c>
      <c r="C947" s="85">
        <v>125.94</v>
      </c>
      <c r="D947" s="85">
        <v>122.31</v>
      </c>
      <c r="E947" s="85">
        <v>123.78</v>
      </c>
      <c r="F947" s="85">
        <v>1242516</v>
      </c>
      <c r="G947" s="112">
        <f t="shared" si="28"/>
        <v>-7.0592010267928051E-3</v>
      </c>
      <c r="I947" s="105">
        <v>44518</v>
      </c>
      <c r="J947" s="85">
        <v>46097.51</v>
      </c>
      <c r="K947" s="85">
        <v>46293.08</v>
      </c>
      <c r="L947" s="85">
        <v>45728.42</v>
      </c>
      <c r="M947" s="85">
        <v>46110.5</v>
      </c>
      <c r="N947" s="123">
        <v>86439288</v>
      </c>
      <c r="O947" s="112">
        <f t="shared" si="29"/>
        <v>-1.8166696323927978E-3</v>
      </c>
    </row>
    <row r="948" spans="1:15">
      <c r="A948" s="105">
        <v>44517</v>
      </c>
      <c r="B948" s="85">
        <v>126.5</v>
      </c>
      <c r="C948" s="85">
        <v>127.75</v>
      </c>
      <c r="D948" s="85">
        <v>123.66</v>
      </c>
      <c r="E948" s="85">
        <v>124.66</v>
      </c>
      <c r="F948" s="85">
        <v>4162783</v>
      </c>
      <c r="G948" s="112">
        <f t="shared" si="28"/>
        <v>-1.0242159587137811E-2</v>
      </c>
      <c r="I948" s="105">
        <v>44517</v>
      </c>
      <c r="J948" s="85">
        <v>46637.46</v>
      </c>
      <c r="K948" s="85">
        <v>46655.9</v>
      </c>
      <c r="L948" s="85">
        <v>46069.599999999999</v>
      </c>
      <c r="M948" s="85">
        <v>46194.42</v>
      </c>
      <c r="N948" s="123">
        <v>93572103</v>
      </c>
      <c r="O948" s="112">
        <f t="shared" si="29"/>
        <v>-7.4874991701208149E-3</v>
      </c>
    </row>
    <row r="949" spans="1:15">
      <c r="A949" s="105">
        <v>44516</v>
      </c>
      <c r="B949" s="85">
        <v>125.45</v>
      </c>
      <c r="C949" s="85">
        <v>126.49</v>
      </c>
      <c r="D949" s="85">
        <v>123.05</v>
      </c>
      <c r="E949" s="85">
        <v>125.95</v>
      </c>
      <c r="F949" s="85">
        <v>878994</v>
      </c>
      <c r="G949" s="112">
        <f t="shared" si="28"/>
        <v>8.3259947161957726E-3</v>
      </c>
      <c r="I949" s="105">
        <v>44516</v>
      </c>
      <c r="J949" s="85">
        <v>45870.04</v>
      </c>
      <c r="K949" s="85">
        <v>46628.7</v>
      </c>
      <c r="L949" s="85">
        <v>45870.04</v>
      </c>
      <c r="M949" s="85">
        <v>46542.91</v>
      </c>
      <c r="N949" s="123">
        <v>96445193</v>
      </c>
      <c r="O949" s="112">
        <f t="shared" si="29"/>
        <v>1.7636990868951763E-2</v>
      </c>
    </row>
    <row r="950" spans="1:15">
      <c r="A950" s="105">
        <v>44515</v>
      </c>
      <c r="B950" s="85">
        <v>122.15</v>
      </c>
      <c r="C950" s="85">
        <v>125.94</v>
      </c>
      <c r="D950" s="85">
        <v>122.15</v>
      </c>
      <c r="E950" s="85">
        <v>124.91</v>
      </c>
      <c r="F950" s="85">
        <v>495611</v>
      </c>
      <c r="G950" s="112">
        <f t="shared" si="28"/>
        <v>1.2154606595899953E-2</v>
      </c>
      <c r="I950" s="105">
        <v>44515</v>
      </c>
      <c r="J950" s="85">
        <v>45670.91</v>
      </c>
      <c r="K950" s="85">
        <v>45910.96</v>
      </c>
      <c r="L950" s="85">
        <v>45544.99</v>
      </c>
      <c r="M950" s="85">
        <v>45736.26</v>
      </c>
      <c r="N950" s="123">
        <v>57496942</v>
      </c>
      <c r="O950" s="112">
        <f t="shared" si="29"/>
        <v>-2.8175386865114671E-4</v>
      </c>
    </row>
    <row r="951" spans="1:15">
      <c r="A951" s="105">
        <v>44512</v>
      </c>
      <c r="B951" s="85">
        <v>124.1</v>
      </c>
      <c r="C951" s="85">
        <v>125.47</v>
      </c>
      <c r="D951" s="85">
        <v>123</v>
      </c>
      <c r="E951" s="85">
        <v>123.41</v>
      </c>
      <c r="F951" s="85">
        <v>415477</v>
      </c>
      <c r="G951" s="112">
        <f t="shared" si="28"/>
        <v>-5.6401579244218514E-3</v>
      </c>
      <c r="I951" s="105">
        <v>44512</v>
      </c>
      <c r="J951" s="85">
        <v>46341.24</v>
      </c>
      <c r="K951" s="85">
        <v>46409.760000000002</v>
      </c>
      <c r="L951" s="85">
        <v>45706.42</v>
      </c>
      <c r="M951" s="85">
        <v>45749.15</v>
      </c>
      <c r="N951" s="123">
        <v>83044802</v>
      </c>
      <c r="O951" s="112">
        <f t="shared" si="29"/>
        <v>-1.2924563596671934E-2</v>
      </c>
    </row>
    <row r="952" spans="1:15">
      <c r="A952" s="105">
        <v>44511</v>
      </c>
      <c r="B952" s="85">
        <v>124.97</v>
      </c>
      <c r="C952" s="85">
        <v>124.97</v>
      </c>
      <c r="D952" s="85">
        <v>124</v>
      </c>
      <c r="E952" s="85">
        <v>124.11</v>
      </c>
      <c r="F952" s="85">
        <v>2398042</v>
      </c>
      <c r="G952" s="112">
        <f t="shared" si="28"/>
        <v>-3.6927028979689691E-3</v>
      </c>
      <c r="I952" s="105">
        <v>44511</v>
      </c>
      <c r="J952" s="85">
        <v>46675.68</v>
      </c>
      <c r="K952" s="85">
        <v>46843.69</v>
      </c>
      <c r="L952" s="85">
        <v>46323.19</v>
      </c>
      <c r="M952" s="85">
        <v>46348.18</v>
      </c>
      <c r="N952" s="123">
        <v>83981243</v>
      </c>
      <c r="O952" s="112">
        <f t="shared" si="29"/>
        <v>-6.0411907557985645E-3</v>
      </c>
    </row>
    <row r="953" spans="1:15">
      <c r="A953" s="105">
        <v>44510</v>
      </c>
      <c r="B953" s="85">
        <v>126</v>
      </c>
      <c r="C953" s="85">
        <v>126.88</v>
      </c>
      <c r="D953" s="85">
        <v>124.1</v>
      </c>
      <c r="E953" s="85">
        <v>124.57</v>
      </c>
      <c r="F953" s="85">
        <v>453390</v>
      </c>
      <c r="G953" s="112">
        <f t="shared" si="28"/>
        <v>-5.9846792211937228E-3</v>
      </c>
      <c r="I953" s="105">
        <v>44510</v>
      </c>
      <c r="J953" s="85">
        <v>46548.41</v>
      </c>
      <c r="K953" s="85">
        <v>46755.5</v>
      </c>
      <c r="L953" s="85">
        <v>46422.28</v>
      </c>
      <c r="M953" s="85">
        <v>46629.88</v>
      </c>
      <c r="N953" s="123">
        <v>84042266</v>
      </c>
      <c r="O953" s="112">
        <f t="shared" si="29"/>
        <v>4.9562596134344883E-3</v>
      </c>
    </row>
    <row r="954" spans="1:15">
      <c r="A954" s="105">
        <v>44509</v>
      </c>
      <c r="B954" s="85">
        <v>127.4</v>
      </c>
      <c r="C954" s="85">
        <v>127.4</v>
      </c>
      <c r="D954" s="85">
        <v>125.25</v>
      </c>
      <c r="E954" s="85">
        <v>125.32</v>
      </c>
      <c r="F954" s="85">
        <v>854225</v>
      </c>
      <c r="G954" s="112">
        <f t="shared" si="28"/>
        <v>-1.0501381760758099E-2</v>
      </c>
      <c r="I954" s="105">
        <v>44509</v>
      </c>
      <c r="J954" s="85">
        <v>47145.69</v>
      </c>
      <c r="K954" s="85">
        <v>47179.14</v>
      </c>
      <c r="L954" s="85">
        <v>46306.91</v>
      </c>
      <c r="M954" s="85">
        <v>46399.91</v>
      </c>
      <c r="N954" s="123">
        <v>130934628</v>
      </c>
      <c r="O954" s="112">
        <f t="shared" si="29"/>
        <v>-1.5178380406766001E-2</v>
      </c>
    </row>
    <row r="955" spans="1:15">
      <c r="A955" s="105">
        <v>44508</v>
      </c>
      <c r="B955" s="85">
        <v>125.6</v>
      </c>
      <c r="C955" s="85">
        <v>127.01</v>
      </c>
      <c r="D955" s="85">
        <v>125.2</v>
      </c>
      <c r="E955" s="85">
        <v>126.65</v>
      </c>
      <c r="F955" s="85">
        <v>705569</v>
      </c>
      <c r="G955" s="112">
        <f t="shared" si="28"/>
        <v>8.7614496216648075E-3</v>
      </c>
      <c r="I955" s="105">
        <v>44508</v>
      </c>
      <c r="J955" s="85">
        <v>47301.29</v>
      </c>
      <c r="K955" s="85">
        <v>47443.28</v>
      </c>
      <c r="L955" s="85">
        <v>47019.74</v>
      </c>
      <c r="M955" s="85">
        <v>47115.040000000001</v>
      </c>
      <c r="N955" s="123">
        <v>102264574</v>
      </c>
      <c r="O955" s="112">
        <f t="shared" si="29"/>
        <v>-3.8219038476989819E-3</v>
      </c>
    </row>
    <row r="956" spans="1:15">
      <c r="A956" s="105">
        <v>44505</v>
      </c>
      <c r="B956" s="85">
        <v>125.89</v>
      </c>
      <c r="C956" s="85">
        <v>126.4</v>
      </c>
      <c r="D956" s="85">
        <v>124.05</v>
      </c>
      <c r="E956" s="85">
        <v>125.55</v>
      </c>
      <c r="F956" s="85">
        <v>1356774</v>
      </c>
      <c r="G956" s="112">
        <f t="shared" si="28"/>
        <v>9.9750623441396957E-3</v>
      </c>
      <c r="I956" s="105">
        <v>44505</v>
      </c>
      <c r="J956" s="85">
        <v>47325.11</v>
      </c>
      <c r="K956" s="85">
        <v>47608.46</v>
      </c>
      <c r="L956" s="85">
        <v>47184.06</v>
      </c>
      <c r="M956" s="85">
        <v>47295.8</v>
      </c>
      <c r="N956" s="123">
        <v>150547037</v>
      </c>
      <c r="O956" s="112">
        <f t="shared" si="29"/>
        <v>1.6226457130343874E-3</v>
      </c>
    </row>
    <row r="957" spans="1:15">
      <c r="A957" s="105">
        <v>44504</v>
      </c>
      <c r="B957" s="85">
        <v>125.79</v>
      </c>
      <c r="C957" s="85">
        <v>126.1</v>
      </c>
      <c r="D957" s="85">
        <v>123.51</v>
      </c>
      <c r="E957" s="85">
        <v>124.31</v>
      </c>
      <c r="F957" s="85">
        <v>1660552</v>
      </c>
      <c r="G957" s="112">
        <f t="shared" si="28"/>
        <v>-7.5842248123902944E-3</v>
      </c>
      <c r="I957" s="105">
        <v>44504</v>
      </c>
      <c r="J957" s="85">
        <v>47075.88</v>
      </c>
      <c r="K957" s="85">
        <v>47242.82</v>
      </c>
      <c r="L957" s="85">
        <v>46936.480000000003</v>
      </c>
      <c r="M957" s="85">
        <v>47219.18</v>
      </c>
      <c r="N957" s="123">
        <v>177958705</v>
      </c>
      <c r="O957" s="112">
        <f t="shared" si="29"/>
        <v>3.9704510333717913E-3</v>
      </c>
    </row>
    <row r="958" spans="1:15">
      <c r="A958" s="105">
        <v>44503</v>
      </c>
      <c r="B958" s="85">
        <v>128.94999999999999</v>
      </c>
      <c r="C958" s="85">
        <v>128.94999999999999</v>
      </c>
      <c r="D958" s="85">
        <v>125</v>
      </c>
      <c r="E958" s="85">
        <v>125.26</v>
      </c>
      <c r="F958" s="85">
        <v>717179</v>
      </c>
      <c r="G958" s="112">
        <f t="shared" si="28"/>
        <v>-2.1253320831379874E-2</v>
      </c>
      <c r="I958" s="105">
        <v>44503</v>
      </c>
      <c r="J958" s="85">
        <v>47183.45</v>
      </c>
      <c r="K958" s="85">
        <v>47320.07</v>
      </c>
      <c r="L958" s="85">
        <v>46968.28</v>
      </c>
      <c r="M958" s="85">
        <v>47032.44</v>
      </c>
      <c r="N958" s="123">
        <v>165881084</v>
      </c>
      <c r="O958" s="112">
        <f t="shared" si="29"/>
        <v>-1.7082362969647047E-3</v>
      </c>
    </row>
    <row r="959" spans="1:15">
      <c r="A959" s="105">
        <v>44502</v>
      </c>
      <c r="B959" s="85">
        <v>127</v>
      </c>
      <c r="C959" s="85">
        <v>128.9</v>
      </c>
      <c r="D959" s="85">
        <v>126</v>
      </c>
      <c r="E959" s="85">
        <v>127.98</v>
      </c>
      <c r="F959" s="85">
        <v>2460565</v>
      </c>
      <c r="G959" s="112">
        <f t="shared" si="28"/>
        <v>8.0340264650284876E-3</v>
      </c>
      <c r="I959" s="105">
        <v>44502</v>
      </c>
      <c r="J959" s="85">
        <v>47079.06</v>
      </c>
      <c r="K959" s="85">
        <v>47314.75</v>
      </c>
      <c r="L959" s="85">
        <v>47079.06</v>
      </c>
      <c r="M959" s="85">
        <v>47112.92</v>
      </c>
      <c r="N959" s="123">
        <v>139279761</v>
      </c>
      <c r="O959" s="112">
        <f t="shared" si="29"/>
        <v>2.9407269177206263E-3</v>
      </c>
    </row>
    <row r="960" spans="1:15">
      <c r="A960" s="105">
        <v>44501</v>
      </c>
      <c r="B960" s="85">
        <v>126.95</v>
      </c>
      <c r="C960" s="85">
        <v>128.99</v>
      </c>
      <c r="D960" s="85">
        <v>126.01</v>
      </c>
      <c r="E960" s="85">
        <v>126.96</v>
      </c>
      <c r="F960" s="85">
        <v>465436</v>
      </c>
      <c r="G960" s="112">
        <f t="shared" si="28"/>
        <v>6.3411540900444319E-3</v>
      </c>
      <c r="I960" s="105">
        <v>44501</v>
      </c>
      <c r="J960" s="85">
        <v>46551.91</v>
      </c>
      <c r="K960" s="85">
        <v>47257.13</v>
      </c>
      <c r="L960" s="85">
        <v>46551.91</v>
      </c>
      <c r="M960" s="85">
        <v>46974.78</v>
      </c>
      <c r="N960" s="123">
        <v>193806019</v>
      </c>
      <c r="O960" s="112">
        <f t="shared" si="29"/>
        <v>1.6353908745595946E-2</v>
      </c>
    </row>
    <row r="961" spans="1:15">
      <c r="A961" s="105">
        <v>44498</v>
      </c>
      <c r="B961" s="85">
        <v>125.5</v>
      </c>
      <c r="C961" s="85">
        <v>129</v>
      </c>
      <c r="D961" s="85">
        <v>123.05</v>
      </c>
      <c r="E961" s="85">
        <v>126.16</v>
      </c>
      <c r="F961" s="85">
        <v>1933104</v>
      </c>
      <c r="G961" s="112">
        <f t="shared" si="28"/>
        <v>1.3821922211507465E-2</v>
      </c>
      <c r="I961" s="105">
        <v>44498</v>
      </c>
      <c r="J961" s="85">
        <v>45985.41</v>
      </c>
      <c r="K961" s="85">
        <v>46292.03</v>
      </c>
      <c r="L961" s="85">
        <v>45681.59</v>
      </c>
      <c r="M961" s="85">
        <v>46218.92</v>
      </c>
      <c r="N961" s="123">
        <v>138127965</v>
      </c>
      <c r="O961" s="112">
        <f t="shared" si="29"/>
        <v>4.9616520546640341E-3</v>
      </c>
    </row>
    <row r="962" spans="1:15">
      <c r="A962" s="105">
        <v>44497</v>
      </c>
      <c r="B962" s="85">
        <v>124</v>
      </c>
      <c r="C962" s="85">
        <v>124.9</v>
      </c>
      <c r="D962" s="85">
        <v>122.48</v>
      </c>
      <c r="E962" s="85">
        <v>124.44</v>
      </c>
      <c r="F962" s="85">
        <v>755674</v>
      </c>
      <c r="G962" s="112">
        <f t="shared" si="28"/>
        <v>4.6015984499878648E-3</v>
      </c>
      <c r="I962" s="105">
        <v>44497</v>
      </c>
      <c r="J962" s="85">
        <v>45791.92</v>
      </c>
      <c r="K962" s="85">
        <v>46061.62</v>
      </c>
      <c r="L962" s="85">
        <v>45765.760000000002</v>
      </c>
      <c r="M962" s="85">
        <v>45990.73</v>
      </c>
      <c r="N962" s="123">
        <v>95420087</v>
      </c>
      <c r="O962" s="112">
        <f t="shared" si="29"/>
        <v>3.0466048316462047E-3</v>
      </c>
    </row>
    <row r="963" spans="1:15">
      <c r="A963" s="105">
        <v>44496</v>
      </c>
      <c r="B963" s="85">
        <v>125.4</v>
      </c>
      <c r="C963" s="85">
        <v>126.51</v>
      </c>
      <c r="D963" s="85">
        <v>122.9</v>
      </c>
      <c r="E963" s="85">
        <v>123.87</v>
      </c>
      <c r="F963" s="85">
        <v>1529652</v>
      </c>
      <c r="G963" s="112">
        <f t="shared" si="28"/>
        <v>-1.4715240216353731E-2</v>
      </c>
      <c r="I963" s="105">
        <v>44496</v>
      </c>
      <c r="J963" s="85">
        <v>45227.8</v>
      </c>
      <c r="K963" s="85">
        <v>46024.76</v>
      </c>
      <c r="L963" s="85">
        <v>45537.46</v>
      </c>
      <c r="M963" s="85">
        <v>45851.040000000001</v>
      </c>
      <c r="N963" s="123">
        <v>88034256</v>
      </c>
      <c r="O963" s="112">
        <f t="shared" si="29"/>
        <v>1.3148983437986095E-2</v>
      </c>
    </row>
    <row r="964" spans="1:15">
      <c r="A964" s="105">
        <v>44495</v>
      </c>
      <c r="B964" s="85">
        <v>129.69999999999999</v>
      </c>
      <c r="C964" s="85">
        <v>129.69999999999999</v>
      </c>
      <c r="D964" s="85">
        <v>125</v>
      </c>
      <c r="E964" s="85">
        <v>125.72</v>
      </c>
      <c r="F964" s="85">
        <v>722456</v>
      </c>
      <c r="G964" s="112">
        <f t="shared" ref="G964:G1027" si="30">E964/E965-1</f>
        <v>-3.0686198920585883E-2</v>
      </c>
      <c r="I964" s="105">
        <v>44495</v>
      </c>
      <c r="J964" s="85">
        <v>45423.41</v>
      </c>
      <c r="K964" s="85">
        <v>45516.77</v>
      </c>
      <c r="L964" s="85">
        <v>45211.21</v>
      </c>
      <c r="M964" s="85">
        <v>45255.97</v>
      </c>
      <c r="N964" s="123">
        <v>69347389</v>
      </c>
      <c r="O964" s="112">
        <f t="shared" ref="O964:O1027" si="31">M964/M965-1</f>
        <v>-3.8134055159664282E-3</v>
      </c>
    </row>
    <row r="965" spans="1:15">
      <c r="A965" s="105">
        <v>44494</v>
      </c>
      <c r="B965" s="85">
        <v>128.01</v>
      </c>
      <c r="C965" s="85">
        <v>129</v>
      </c>
      <c r="D965" s="85">
        <v>126.55</v>
      </c>
      <c r="E965" s="85">
        <v>129.69999999999999</v>
      </c>
      <c r="F965" s="85">
        <v>544116</v>
      </c>
      <c r="G965" s="112">
        <f t="shared" si="30"/>
        <v>0</v>
      </c>
      <c r="I965" s="105">
        <v>44494</v>
      </c>
      <c r="J965" s="85">
        <v>45608.03</v>
      </c>
      <c r="K965" s="85">
        <v>45655.25</v>
      </c>
      <c r="L965" s="85">
        <v>45308.06</v>
      </c>
      <c r="M965" s="85">
        <v>45429.21</v>
      </c>
      <c r="N965" s="123">
        <v>48920048</v>
      </c>
      <c r="O965" s="112">
        <f t="shared" si="31"/>
        <v>-3.2723862815600135E-3</v>
      </c>
    </row>
    <row r="966" spans="1:15">
      <c r="A966" s="105">
        <v>44491</v>
      </c>
      <c r="B966" s="85">
        <v>127.8</v>
      </c>
      <c r="C966" s="85">
        <v>131</v>
      </c>
      <c r="D966" s="85">
        <v>126</v>
      </c>
      <c r="E966" s="85">
        <v>129.69999999999999</v>
      </c>
      <c r="F966" s="85">
        <v>1951983</v>
      </c>
      <c r="G966" s="112">
        <f t="shared" si="30"/>
        <v>1.5343666823234736E-2</v>
      </c>
      <c r="I966" s="105">
        <v>44491</v>
      </c>
      <c r="J966" s="85">
        <v>45958.21</v>
      </c>
      <c r="K966" s="85">
        <v>46037.95</v>
      </c>
      <c r="L966" s="85">
        <v>45179.95</v>
      </c>
      <c r="M966" s="85">
        <v>45578.36</v>
      </c>
      <c r="N966" s="123">
        <v>141981087</v>
      </c>
      <c r="O966" s="112">
        <f t="shared" si="31"/>
        <v>-5.3040718965374767E-3</v>
      </c>
    </row>
    <row r="967" spans="1:15">
      <c r="A967" s="105">
        <v>44490</v>
      </c>
      <c r="B967" s="85">
        <v>124</v>
      </c>
      <c r="C967" s="85">
        <v>131.9</v>
      </c>
      <c r="D967" s="85">
        <v>122.22</v>
      </c>
      <c r="E967" s="85">
        <v>127.74</v>
      </c>
      <c r="F967" s="85">
        <v>6216289</v>
      </c>
      <c r="G967" s="112">
        <f t="shared" si="30"/>
        <v>2.7592309548708727E-2</v>
      </c>
      <c r="I967" s="105">
        <v>44490</v>
      </c>
      <c r="J967" s="85">
        <v>45509.37</v>
      </c>
      <c r="K967" s="85">
        <v>46164.480000000003</v>
      </c>
      <c r="L967" s="85">
        <v>45462.63</v>
      </c>
      <c r="M967" s="85">
        <v>45821.4</v>
      </c>
      <c r="N967" s="123">
        <v>181068114</v>
      </c>
      <c r="O967" s="112">
        <f t="shared" si="31"/>
        <v>7.0756883708071872E-3</v>
      </c>
    </row>
    <row r="968" spans="1:15">
      <c r="A968" s="105">
        <v>44489</v>
      </c>
      <c r="B968" s="85">
        <v>122.5</v>
      </c>
      <c r="C968" s="85">
        <v>125.5</v>
      </c>
      <c r="D968" s="85">
        <v>121</v>
      </c>
      <c r="E968" s="85">
        <v>124.31</v>
      </c>
      <c r="F968" s="85">
        <v>2318448</v>
      </c>
      <c r="G968" s="112">
        <f t="shared" si="30"/>
        <v>2.0691353969948256E-2</v>
      </c>
      <c r="I968" s="105">
        <v>44489</v>
      </c>
      <c r="J968" s="85">
        <v>44753.88</v>
      </c>
      <c r="K968" s="85">
        <v>45564.28</v>
      </c>
      <c r="L968" s="85">
        <v>44629.45</v>
      </c>
      <c r="M968" s="85">
        <v>45499.46</v>
      </c>
      <c r="N968" s="123">
        <v>132668141</v>
      </c>
      <c r="O968" s="112">
        <f t="shared" si="31"/>
        <v>1.9494078461643749E-2</v>
      </c>
    </row>
    <row r="969" spans="1:15">
      <c r="A969" s="105">
        <v>44487</v>
      </c>
      <c r="B969" s="85">
        <v>119.74</v>
      </c>
      <c r="C969" s="85">
        <v>122.8</v>
      </c>
      <c r="D969" s="85">
        <v>117.05</v>
      </c>
      <c r="E969" s="85">
        <v>121.79</v>
      </c>
      <c r="F969" s="85">
        <v>1824940</v>
      </c>
      <c r="G969" s="112">
        <f t="shared" si="30"/>
        <v>2.3187431739897457E-2</v>
      </c>
      <c r="I969" s="105">
        <v>44487</v>
      </c>
      <c r="J969" s="85">
        <v>44655.519999999997</v>
      </c>
      <c r="K969" s="85">
        <v>44993.66</v>
      </c>
      <c r="L969" s="85">
        <v>44442.28</v>
      </c>
      <c r="M969" s="85">
        <v>44629.45</v>
      </c>
      <c r="N969" s="123">
        <v>102247288</v>
      </c>
      <c r="O969" s="112">
        <f t="shared" si="31"/>
        <v>-4.285440501473281E-3</v>
      </c>
    </row>
    <row r="970" spans="1:15">
      <c r="A970" s="105">
        <v>44484</v>
      </c>
      <c r="B970" s="85">
        <v>119.9</v>
      </c>
      <c r="C970" s="85">
        <v>120</v>
      </c>
      <c r="D970" s="85">
        <v>117.79</v>
      </c>
      <c r="E970" s="85">
        <v>119.03</v>
      </c>
      <c r="F970" s="85">
        <v>1357210</v>
      </c>
      <c r="G970" s="112">
        <f t="shared" si="30"/>
        <v>-1.0071338648762751E-3</v>
      </c>
      <c r="I970" s="105">
        <v>44484</v>
      </c>
      <c r="J970" s="85">
        <v>44383.97</v>
      </c>
      <c r="K970" s="85">
        <v>44834.83</v>
      </c>
      <c r="L970" s="85">
        <v>44193.47</v>
      </c>
      <c r="M970" s="85">
        <v>44821.53</v>
      </c>
      <c r="N970" s="123">
        <v>152023463</v>
      </c>
      <c r="O970" s="112">
        <f t="shared" si="31"/>
        <v>1.1004049291644558E-2</v>
      </c>
    </row>
    <row r="971" spans="1:15">
      <c r="A971" s="105">
        <v>44483</v>
      </c>
      <c r="B971" s="85">
        <v>115</v>
      </c>
      <c r="C971" s="85">
        <v>119.5</v>
      </c>
      <c r="D971" s="85">
        <v>114.1</v>
      </c>
      <c r="E971" s="85">
        <v>119.15</v>
      </c>
      <c r="F971" s="85">
        <v>2542510</v>
      </c>
      <c r="G971" s="112">
        <f t="shared" si="30"/>
        <v>3.6627805811727976E-2</v>
      </c>
      <c r="I971" s="105">
        <v>44483</v>
      </c>
      <c r="J971" s="85">
        <v>43116.27</v>
      </c>
      <c r="K971" s="85">
        <v>44433.33</v>
      </c>
      <c r="L971" s="85">
        <v>43042.44</v>
      </c>
      <c r="M971" s="85">
        <v>44333.68</v>
      </c>
      <c r="N971" s="123">
        <v>150131659</v>
      </c>
      <c r="O971" s="112">
        <f t="shared" si="31"/>
        <v>2.5725456008521608E-2</v>
      </c>
    </row>
    <row r="972" spans="1:15">
      <c r="A972" s="105">
        <v>44482</v>
      </c>
      <c r="B972" s="85">
        <v>114.5</v>
      </c>
      <c r="C972" s="85">
        <v>116.57</v>
      </c>
      <c r="D972" s="85">
        <v>113.15</v>
      </c>
      <c r="E972" s="85">
        <v>114.94</v>
      </c>
      <c r="F972" s="85">
        <v>2676084</v>
      </c>
      <c r="G972" s="112">
        <f t="shared" si="30"/>
        <v>8.0687598666899785E-3</v>
      </c>
      <c r="I972" s="105">
        <v>44482</v>
      </c>
      <c r="J972" s="85">
        <v>43935.61</v>
      </c>
      <c r="K972" s="85">
        <v>44172.74</v>
      </c>
      <c r="L972" s="85">
        <v>43067.61</v>
      </c>
      <c r="M972" s="85">
        <v>43221.78</v>
      </c>
      <c r="N972" s="123">
        <v>156336367</v>
      </c>
      <c r="O972" s="112">
        <f t="shared" si="31"/>
        <v>-1.5069589463638455E-2</v>
      </c>
    </row>
    <row r="973" spans="1:15">
      <c r="A973" s="105">
        <v>44481</v>
      </c>
      <c r="B973" s="85">
        <v>109.73</v>
      </c>
      <c r="C973" s="85">
        <v>114.89</v>
      </c>
      <c r="D973" s="85">
        <v>108.98</v>
      </c>
      <c r="E973" s="85">
        <v>114.02</v>
      </c>
      <c r="F973" s="85">
        <v>6622254</v>
      </c>
      <c r="G973" s="112">
        <f t="shared" si="30"/>
        <v>3.9854081167350675E-2</v>
      </c>
      <c r="I973" s="105">
        <v>44481</v>
      </c>
      <c r="J973" s="85">
        <v>43821.63</v>
      </c>
      <c r="K973" s="85">
        <v>44051.16</v>
      </c>
      <c r="L973" s="85">
        <v>43149.21</v>
      </c>
      <c r="M973" s="85">
        <v>43883.08</v>
      </c>
      <c r="N973" s="123">
        <v>188656539</v>
      </c>
      <c r="O973" s="112">
        <f t="shared" si="31"/>
        <v>1.2258908699307458E-3</v>
      </c>
    </row>
    <row r="974" spans="1:15">
      <c r="A974" s="105">
        <v>44480</v>
      </c>
      <c r="B974" s="85">
        <v>109.53</v>
      </c>
      <c r="C974" s="85">
        <v>110.49</v>
      </c>
      <c r="D974" s="85">
        <v>109.02</v>
      </c>
      <c r="E974" s="85">
        <v>109.65</v>
      </c>
      <c r="F974" s="85">
        <v>1206108</v>
      </c>
      <c r="G974" s="112">
        <f t="shared" si="30"/>
        <v>-5.5323780155994706E-3</v>
      </c>
      <c r="I974" s="105">
        <v>44480</v>
      </c>
      <c r="J974" s="85">
        <v>44525.85</v>
      </c>
      <c r="K974" s="85">
        <v>44544.1</v>
      </c>
      <c r="L974" s="85">
        <v>43718.37</v>
      </c>
      <c r="M974" s="85">
        <v>43829.35</v>
      </c>
      <c r="N974" s="123">
        <v>88783309</v>
      </c>
      <c r="O974" s="112">
        <f t="shared" si="31"/>
        <v>-1.4566554616823102E-2</v>
      </c>
    </row>
    <row r="975" spans="1:15">
      <c r="A975" s="105">
        <v>44477</v>
      </c>
      <c r="B975" s="85">
        <v>109.5</v>
      </c>
      <c r="C975" s="85">
        <v>111</v>
      </c>
      <c r="D975" s="85">
        <v>108.5</v>
      </c>
      <c r="E975" s="85">
        <v>110.26</v>
      </c>
      <c r="F975" s="85">
        <v>5834015</v>
      </c>
      <c r="G975" s="112">
        <f t="shared" si="30"/>
        <v>1.0817748441510844E-2</v>
      </c>
      <c r="I975" s="105">
        <v>44477</v>
      </c>
      <c r="J975" s="85">
        <v>44590.77</v>
      </c>
      <c r="K975" s="85">
        <v>44671.22</v>
      </c>
      <c r="L975" s="85">
        <v>44336.25</v>
      </c>
      <c r="M975" s="85">
        <v>44477.23</v>
      </c>
      <c r="N975" s="123">
        <v>66192136</v>
      </c>
      <c r="O975" s="112">
        <f t="shared" si="31"/>
        <v>-2.4404499704391291E-3</v>
      </c>
    </row>
    <row r="976" spans="1:15">
      <c r="A976" s="105">
        <v>44476</v>
      </c>
      <c r="B976" s="85">
        <v>108</v>
      </c>
      <c r="C976" s="85">
        <v>110.34</v>
      </c>
      <c r="D976" s="85">
        <v>107.76</v>
      </c>
      <c r="E976" s="85">
        <v>109.08</v>
      </c>
      <c r="F976" s="85">
        <v>2483027</v>
      </c>
      <c r="G976" s="112">
        <f t="shared" si="30"/>
        <v>1.2249443207126953E-2</v>
      </c>
      <c r="I976" s="105">
        <v>44476</v>
      </c>
      <c r="J976" s="85">
        <v>44615</v>
      </c>
      <c r="K976" s="85">
        <v>44947.38</v>
      </c>
      <c r="L976" s="85">
        <v>44537.599999999999</v>
      </c>
      <c r="M976" s="85">
        <v>44586.04</v>
      </c>
      <c r="N976" s="123">
        <v>111941622</v>
      </c>
      <c r="O976" s="112">
        <f t="shared" si="31"/>
        <v>4.7959096058591832E-3</v>
      </c>
    </row>
    <row r="977" spans="1:15">
      <c r="A977" s="105">
        <v>44475</v>
      </c>
      <c r="B977" s="85">
        <v>109.99</v>
      </c>
      <c r="C977" s="85">
        <v>109.99</v>
      </c>
      <c r="D977" s="85">
        <v>107.6</v>
      </c>
      <c r="E977" s="85">
        <v>107.76</v>
      </c>
      <c r="F977" s="85">
        <v>3148840</v>
      </c>
      <c r="G977" s="112">
        <f t="shared" si="30"/>
        <v>-1.4540466392318097E-2</v>
      </c>
      <c r="I977" s="105">
        <v>44475</v>
      </c>
      <c r="J977" s="85">
        <v>44730.84</v>
      </c>
      <c r="K977" s="85">
        <v>44795.199999999997</v>
      </c>
      <c r="L977" s="85">
        <v>44283.61</v>
      </c>
      <c r="M977" s="85">
        <v>44373.23</v>
      </c>
      <c r="N977" s="123">
        <v>123016364</v>
      </c>
      <c r="O977" s="112">
        <f t="shared" si="31"/>
        <v>-6.567327645708998E-3</v>
      </c>
    </row>
    <row r="978" spans="1:15">
      <c r="A978" s="105">
        <v>44474</v>
      </c>
      <c r="B978" s="85">
        <v>110.02</v>
      </c>
      <c r="C978" s="85">
        <v>110.7</v>
      </c>
      <c r="D978" s="85">
        <v>109</v>
      </c>
      <c r="E978" s="85">
        <v>109.35</v>
      </c>
      <c r="F978" s="85">
        <v>1589523</v>
      </c>
      <c r="G978" s="112">
        <f t="shared" si="30"/>
        <v>-5.9994545950369238E-3</v>
      </c>
      <c r="I978" s="105">
        <v>44474</v>
      </c>
      <c r="J978" s="85">
        <v>45092.44</v>
      </c>
      <c r="K978" s="85">
        <v>45104.41</v>
      </c>
      <c r="L978" s="85">
        <v>44593.75</v>
      </c>
      <c r="M978" s="85">
        <v>44666.57</v>
      </c>
      <c r="N978" s="123">
        <v>141633952</v>
      </c>
      <c r="O978" s="112">
        <f t="shared" si="31"/>
        <v>-8.3901475207850407E-3</v>
      </c>
    </row>
    <row r="979" spans="1:15">
      <c r="A979" s="105">
        <v>44473</v>
      </c>
      <c r="B979" s="85">
        <v>110.09</v>
      </c>
      <c r="C979" s="85">
        <v>110.35</v>
      </c>
      <c r="D979" s="85">
        <v>109.09</v>
      </c>
      <c r="E979" s="85">
        <v>110.01</v>
      </c>
      <c r="F979" s="85">
        <v>1599420</v>
      </c>
      <c r="G979" s="112">
        <f t="shared" si="30"/>
        <v>-7.2667817240434918E-4</v>
      </c>
      <c r="I979" s="105">
        <v>44473</v>
      </c>
      <c r="J979" s="85">
        <v>44705.31</v>
      </c>
      <c r="K979" s="85">
        <v>45105.04</v>
      </c>
      <c r="L979" s="85">
        <v>44552.7</v>
      </c>
      <c r="M979" s="85">
        <v>45044.5</v>
      </c>
      <c r="N979" s="123">
        <v>94364877</v>
      </c>
      <c r="O979" s="112">
        <f t="shared" si="31"/>
        <v>3.8509795706425098E-3</v>
      </c>
    </row>
    <row r="980" spans="1:15">
      <c r="A980" s="105">
        <v>44470</v>
      </c>
      <c r="B980" s="85">
        <v>109.95</v>
      </c>
      <c r="C980" s="85">
        <v>110.89</v>
      </c>
      <c r="D980" s="85">
        <v>108.6</v>
      </c>
      <c r="E980" s="85">
        <v>110.09</v>
      </c>
      <c r="F980" s="85">
        <v>3308845</v>
      </c>
      <c r="G980" s="112">
        <f t="shared" si="30"/>
        <v>6.767261088248766E-3</v>
      </c>
      <c r="I980" s="105">
        <v>44470</v>
      </c>
      <c r="J980" s="85">
        <v>44861.7</v>
      </c>
      <c r="K980" s="85">
        <v>45003.26</v>
      </c>
      <c r="L980" s="85">
        <v>44597.9</v>
      </c>
      <c r="M980" s="85">
        <v>44871.7</v>
      </c>
      <c r="N980" s="123">
        <v>111345129</v>
      </c>
      <c r="O980" s="112">
        <f t="shared" si="31"/>
        <v>-6.2138638206132857E-4</v>
      </c>
    </row>
    <row r="981" spans="1:15">
      <c r="A981" s="105">
        <v>44469</v>
      </c>
      <c r="B981" s="85">
        <v>111</v>
      </c>
      <c r="C981" s="85">
        <v>111.94</v>
      </c>
      <c r="D981" s="85">
        <v>108.05</v>
      </c>
      <c r="E981" s="85">
        <v>109.35</v>
      </c>
      <c r="F981" s="85">
        <v>6587594</v>
      </c>
      <c r="G981" s="112">
        <f t="shared" si="30"/>
        <v>-1.4065458479848525E-2</v>
      </c>
      <c r="I981" s="105">
        <v>44469</v>
      </c>
      <c r="J981" s="85">
        <v>44281.39</v>
      </c>
      <c r="K981" s="85">
        <v>44899.6</v>
      </c>
      <c r="L981" s="85">
        <v>43972.09</v>
      </c>
      <c r="M981" s="85">
        <v>44899.6</v>
      </c>
      <c r="N981" s="123">
        <v>212619364</v>
      </c>
      <c r="O981" s="112">
        <f t="shared" si="31"/>
        <v>1.201034829243719E-2</v>
      </c>
    </row>
    <row r="982" spans="1:15">
      <c r="A982" s="105">
        <v>44468</v>
      </c>
      <c r="B982" s="85">
        <v>113.9</v>
      </c>
      <c r="C982" s="85">
        <v>113.9</v>
      </c>
      <c r="D982" s="85">
        <v>110.41</v>
      </c>
      <c r="E982" s="85">
        <v>110.91</v>
      </c>
      <c r="F982" s="85">
        <v>1347349</v>
      </c>
      <c r="G982" s="112">
        <f t="shared" si="30"/>
        <v>-1.4483739114981464E-2</v>
      </c>
      <c r="I982" s="105">
        <v>44468</v>
      </c>
      <c r="J982" s="85">
        <v>45283.79</v>
      </c>
      <c r="K982" s="85">
        <v>45342.26</v>
      </c>
      <c r="L982" s="85">
        <v>43973.91</v>
      </c>
      <c r="M982" s="85">
        <v>44366.74</v>
      </c>
      <c r="N982" s="123">
        <v>208738040</v>
      </c>
      <c r="O982" s="112">
        <f t="shared" si="31"/>
        <v>-2.0059445702069634E-2</v>
      </c>
    </row>
    <row r="983" spans="1:15">
      <c r="A983" s="105">
        <v>44467</v>
      </c>
      <c r="B983" s="85">
        <v>112</v>
      </c>
      <c r="C983" s="85">
        <v>113.7</v>
      </c>
      <c r="D983" s="85">
        <v>111.52</v>
      </c>
      <c r="E983" s="85">
        <v>112.54</v>
      </c>
      <c r="F983" s="85">
        <v>7044937</v>
      </c>
      <c r="G983" s="112">
        <f t="shared" si="30"/>
        <v>4.9111527814984512E-3</v>
      </c>
      <c r="I983" s="105">
        <v>44467</v>
      </c>
      <c r="J983" s="85">
        <v>44865.34</v>
      </c>
      <c r="K983" s="85">
        <v>45294.37</v>
      </c>
      <c r="L983" s="85">
        <v>44747.11</v>
      </c>
      <c r="M983" s="85">
        <v>45274.93</v>
      </c>
      <c r="N983" s="123">
        <v>175444998</v>
      </c>
      <c r="O983" s="112">
        <f t="shared" si="31"/>
        <v>1.0200643673400789E-2</v>
      </c>
    </row>
    <row r="984" spans="1:15">
      <c r="A984" s="105">
        <v>44466</v>
      </c>
      <c r="B984" s="85">
        <v>115</v>
      </c>
      <c r="C984" s="85">
        <v>115</v>
      </c>
      <c r="D984" s="85">
        <v>111</v>
      </c>
      <c r="E984" s="85">
        <v>111.99</v>
      </c>
      <c r="F984" s="85">
        <v>5459595</v>
      </c>
      <c r="G984" s="112">
        <f t="shared" si="30"/>
        <v>-2.5241535381669511E-2</v>
      </c>
      <c r="I984" s="105">
        <v>44466</v>
      </c>
      <c r="J984" s="85">
        <v>45176.83</v>
      </c>
      <c r="K984" s="85">
        <v>45236.480000000003</v>
      </c>
      <c r="L984" s="85">
        <v>44336.6</v>
      </c>
      <c r="M984" s="85">
        <v>44817.760000000002</v>
      </c>
      <c r="N984" s="123">
        <v>162704454</v>
      </c>
      <c r="O984" s="112">
        <f t="shared" si="31"/>
        <v>-5.674285034760862E-3</v>
      </c>
    </row>
    <row r="985" spans="1:15">
      <c r="A985" s="105">
        <v>44463</v>
      </c>
      <c r="B985" s="85">
        <v>115.99</v>
      </c>
      <c r="C985" s="85">
        <v>115.99</v>
      </c>
      <c r="D985" s="85">
        <v>113.51</v>
      </c>
      <c r="E985" s="85">
        <v>114.89</v>
      </c>
      <c r="F985" s="85">
        <v>143084</v>
      </c>
      <c r="G985" s="112">
        <f t="shared" si="30"/>
        <v>-4.9367746405680757E-3</v>
      </c>
      <c r="I985" s="105">
        <v>44463</v>
      </c>
      <c r="J985" s="85">
        <v>45301.42</v>
      </c>
      <c r="K985" s="85">
        <v>45424.26</v>
      </c>
      <c r="L985" s="85">
        <v>44858.400000000001</v>
      </c>
      <c r="M985" s="85">
        <v>45073.52</v>
      </c>
      <c r="N985" s="123">
        <v>186692444</v>
      </c>
      <c r="O985" s="112">
        <f t="shared" si="31"/>
        <v>-4.9310239469031458E-3</v>
      </c>
    </row>
    <row r="986" spans="1:15">
      <c r="A986" s="105">
        <v>44462</v>
      </c>
      <c r="B986" s="85">
        <v>115.5</v>
      </c>
      <c r="C986" s="85">
        <v>116.4</v>
      </c>
      <c r="D986" s="85">
        <v>114</v>
      </c>
      <c r="E986" s="85">
        <v>115.46</v>
      </c>
      <c r="F986" s="85">
        <v>818807</v>
      </c>
      <c r="G986" s="112">
        <f t="shared" si="30"/>
        <v>8.6617583369363871E-5</v>
      </c>
      <c r="I986" s="105">
        <v>44462</v>
      </c>
      <c r="J986" s="85">
        <v>45754.53</v>
      </c>
      <c r="K986" s="85">
        <v>45939.39</v>
      </c>
      <c r="L986" s="85">
        <v>45083.51</v>
      </c>
      <c r="M986" s="85">
        <v>45296.88</v>
      </c>
      <c r="N986" s="123">
        <v>131199565</v>
      </c>
      <c r="O986" s="112">
        <f t="shared" si="31"/>
        <v>-6.5872408066803834E-3</v>
      </c>
    </row>
    <row r="987" spans="1:15">
      <c r="A987" s="105">
        <v>44461</v>
      </c>
      <c r="B987" s="85">
        <v>117.5</v>
      </c>
      <c r="C987" s="85">
        <v>117.9</v>
      </c>
      <c r="D987" s="85">
        <v>114.01</v>
      </c>
      <c r="E987" s="85">
        <v>115.45</v>
      </c>
      <c r="F987" s="85">
        <v>1150303</v>
      </c>
      <c r="G987" s="112">
        <f t="shared" si="30"/>
        <v>-1.2150252417215679E-2</v>
      </c>
      <c r="I987" s="105">
        <v>44461</v>
      </c>
      <c r="J987" s="85">
        <v>45995.15</v>
      </c>
      <c r="K987" s="85">
        <v>46017.62</v>
      </c>
      <c r="L987" s="85">
        <v>44788.17</v>
      </c>
      <c r="M987" s="85">
        <v>45597.24</v>
      </c>
      <c r="N987" s="123">
        <v>227489954</v>
      </c>
      <c r="O987" s="112">
        <f t="shared" si="31"/>
        <v>-8.9463222836476675E-3</v>
      </c>
    </row>
    <row r="988" spans="1:15">
      <c r="A988" s="105">
        <v>44460</v>
      </c>
      <c r="B988" s="85">
        <v>118.95</v>
      </c>
      <c r="C988" s="85">
        <v>121</v>
      </c>
      <c r="D988" s="85">
        <v>116.11</v>
      </c>
      <c r="E988" s="85">
        <v>116.87</v>
      </c>
      <c r="F988" s="85">
        <v>801918</v>
      </c>
      <c r="G988" s="112">
        <f t="shared" si="30"/>
        <v>-1.657691013126894E-2</v>
      </c>
      <c r="I988" s="105">
        <v>44460</v>
      </c>
      <c r="J988" s="85">
        <v>46545.29</v>
      </c>
      <c r="K988" s="85">
        <v>46834.03</v>
      </c>
      <c r="L988" s="85">
        <v>45775.91</v>
      </c>
      <c r="M988" s="85">
        <v>46008.85</v>
      </c>
      <c r="N988" s="123">
        <v>132425826</v>
      </c>
      <c r="O988" s="112">
        <f t="shared" si="31"/>
        <v>-1.1162260486702547E-2</v>
      </c>
    </row>
    <row r="989" spans="1:15">
      <c r="A989" s="105">
        <v>44459</v>
      </c>
      <c r="B989" s="85">
        <v>119</v>
      </c>
      <c r="C989" s="85">
        <v>119</v>
      </c>
      <c r="D989" s="85">
        <v>117.11</v>
      </c>
      <c r="E989" s="85">
        <v>118.84</v>
      </c>
      <c r="F989" s="85">
        <v>201140</v>
      </c>
      <c r="G989" s="112">
        <f t="shared" si="30"/>
        <v>-1.0927124485163864E-3</v>
      </c>
      <c r="I989" s="105">
        <v>44459</v>
      </c>
      <c r="J989" s="85">
        <v>46650.53</v>
      </c>
      <c r="K989" s="85">
        <v>46694.5</v>
      </c>
      <c r="L989" s="85">
        <v>46214.74</v>
      </c>
      <c r="M989" s="85">
        <v>46528.21</v>
      </c>
      <c r="N989" s="123">
        <v>75261742</v>
      </c>
      <c r="O989" s="112">
        <f t="shared" si="31"/>
        <v>-2.3130160167835756E-3</v>
      </c>
    </row>
    <row r="990" spans="1:15">
      <c r="A990" s="105">
        <v>44456</v>
      </c>
      <c r="B990" s="85">
        <v>120.44</v>
      </c>
      <c r="C990" s="85">
        <v>120.44</v>
      </c>
      <c r="D990" s="85">
        <v>118.33</v>
      </c>
      <c r="E990" s="85">
        <v>118.97</v>
      </c>
      <c r="F990" s="85">
        <v>1132673</v>
      </c>
      <c r="G990" s="112">
        <f t="shared" si="30"/>
        <v>-9.5737595737596104E-3</v>
      </c>
      <c r="I990" s="105">
        <v>44456</v>
      </c>
      <c r="J990" s="85">
        <v>46978.54</v>
      </c>
      <c r="K990" s="85">
        <v>47183.08</v>
      </c>
      <c r="L990" s="85">
        <v>46554.73</v>
      </c>
      <c r="M990" s="85">
        <v>46636.08</v>
      </c>
      <c r="N990" s="123">
        <v>163219161</v>
      </c>
      <c r="O990" s="112">
        <f t="shared" si="31"/>
        <v>-6.060895396166166E-3</v>
      </c>
    </row>
    <row r="991" spans="1:15">
      <c r="A991" s="105">
        <v>44455</v>
      </c>
      <c r="B991" s="85">
        <v>120</v>
      </c>
      <c r="C991" s="85">
        <v>122</v>
      </c>
      <c r="D991" s="85">
        <v>119.6</v>
      </c>
      <c r="E991" s="85">
        <v>120.12</v>
      </c>
      <c r="F991" s="85">
        <v>4589452</v>
      </c>
      <c r="G991" s="112">
        <f t="shared" si="30"/>
        <v>1.0000000000001119E-3</v>
      </c>
      <c r="I991" s="105">
        <v>44455</v>
      </c>
      <c r="J991" s="85">
        <v>46697.39</v>
      </c>
      <c r="K991" s="85">
        <v>46960.66</v>
      </c>
      <c r="L991" s="85">
        <v>46625.83</v>
      </c>
      <c r="M991" s="85">
        <v>46920.46</v>
      </c>
      <c r="N991" s="123">
        <v>133579163</v>
      </c>
      <c r="O991" s="112">
        <f t="shared" si="31"/>
        <v>4.3611794663664938E-3</v>
      </c>
    </row>
    <row r="992" spans="1:15">
      <c r="A992" s="105">
        <v>44454</v>
      </c>
      <c r="B992" s="85">
        <v>119.99</v>
      </c>
      <c r="C992" s="85">
        <v>121</v>
      </c>
      <c r="D992" s="85">
        <v>119.05</v>
      </c>
      <c r="E992" s="85">
        <v>120</v>
      </c>
      <c r="F992" s="85">
        <v>1279190</v>
      </c>
      <c r="G992" s="112">
        <f t="shared" si="30"/>
        <v>2.4225210926405172E-3</v>
      </c>
      <c r="I992" s="105">
        <v>44454</v>
      </c>
      <c r="J992" s="85">
        <v>46928.57</v>
      </c>
      <c r="K992" s="85">
        <v>46952.31</v>
      </c>
      <c r="L992" s="85">
        <v>46503.69</v>
      </c>
      <c r="M992" s="85">
        <v>46716.72</v>
      </c>
      <c r="N992" s="123">
        <v>118284304</v>
      </c>
      <c r="O992" s="112">
        <f t="shared" si="31"/>
        <v>-3.7239285548247292E-3</v>
      </c>
    </row>
    <row r="993" spans="1:15">
      <c r="A993" s="105">
        <v>44453</v>
      </c>
      <c r="B993" s="85">
        <v>117.63</v>
      </c>
      <c r="C993" s="85">
        <v>120.61</v>
      </c>
      <c r="D993" s="85">
        <v>117.63</v>
      </c>
      <c r="E993" s="85">
        <v>119.71</v>
      </c>
      <c r="F993" s="85">
        <v>1840030</v>
      </c>
      <c r="G993" s="112">
        <f t="shared" si="30"/>
        <v>1.7682563971775922E-2</v>
      </c>
      <c r="I993" s="105">
        <v>44453</v>
      </c>
      <c r="J993" s="85">
        <v>47350.89</v>
      </c>
      <c r="K993" s="85">
        <v>47387.34</v>
      </c>
      <c r="L993" s="85">
        <v>46607.21</v>
      </c>
      <c r="M993" s="85">
        <v>46891.34</v>
      </c>
      <c r="N993" s="123">
        <v>199432699</v>
      </c>
      <c r="O993" s="112">
        <f t="shared" si="31"/>
        <v>-8.0202308164549763E-3</v>
      </c>
    </row>
    <row r="994" spans="1:15">
      <c r="A994" s="105">
        <v>44452</v>
      </c>
      <c r="B994" s="85">
        <v>116.35</v>
      </c>
      <c r="C994" s="85">
        <v>118.97</v>
      </c>
      <c r="D994" s="85">
        <v>115.52</v>
      </c>
      <c r="E994" s="85">
        <v>117.63</v>
      </c>
      <c r="F994" s="85">
        <v>2176748</v>
      </c>
      <c r="G994" s="112">
        <f t="shared" si="30"/>
        <v>1.6154111955770434E-2</v>
      </c>
      <c r="I994" s="105">
        <v>44452</v>
      </c>
      <c r="J994" s="85">
        <v>47265.43</v>
      </c>
      <c r="K994" s="85">
        <v>47377.07</v>
      </c>
      <c r="L994" s="85">
        <v>47168.75</v>
      </c>
      <c r="M994" s="85">
        <v>47270.46</v>
      </c>
      <c r="N994" s="123">
        <v>130018036</v>
      </c>
      <c r="O994" s="112">
        <f t="shared" si="31"/>
        <v>1.5290808205128403E-3</v>
      </c>
    </row>
    <row r="995" spans="1:15">
      <c r="A995" s="105">
        <v>44449</v>
      </c>
      <c r="B995" s="85">
        <v>116.95</v>
      </c>
      <c r="C995" s="85">
        <v>116.99</v>
      </c>
      <c r="D995" s="85">
        <v>115.02</v>
      </c>
      <c r="E995" s="85">
        <v>115.76</v>
      </c>
      <c r="F995" s="85">
        <v>1112772</v>
      </c>
      <c r="G995" s="112">
        <f t="shared" si="30"/>
        <v>-3.5293104932426766E-3</v>
      </c>
      <c r="I995" s="105">
        <v>44449</v>
      </c>
      <c r="J995" s="85">
        <v>46696.65</v>
      </c>
      <c r="K995" s="85">
        <v>47226.11</v>
      </c>
      <c r="L995" s="85">
        <v>46664.09</v>
      </c>
      <c r="M995" s="85">
        <v>47198.29</v>
      </c>
      <c r="N995" s="123">
        <v>174654881</v>
      </c>
      <c r="O995" s="112">
        <f t="shared" si="31"/>
        <v>1.2293158709296481E-2</v>
      </c>
    </row>
    <row r="996" spans="1:15">
      <c r="A996" s="105">
        <v>44448</v>
      </c>
      <c r="B996" s="85">
        <v>117.6</v>
      </c>
      <c r="C996" s="85">
        <v>118.5</v>
      </c>
      <c r="D996" s="85">
        <v>115.15</v>
      </c>
      <c r="E996" s="85">
        <v>116.17</v>
      </c>
      <c r="F996" s="85">
        <v>2225103</v>
      </c>
      <c r="G996" s="112">
        <f t="shared" si="30"/>
        <v>-2.3453261600537956E-2</v>
      </c>
      <c r="I996" s="105">
        <v>44448</v>
      </c>
      <c r="J996" s="85">
        <v>46517.77</v>
      </c>
      <c r="K996" s="85">
        <v>46665.48</v>
      </c>
      <c r="L996" s="85">
        <v>46413.96</v>
      </c>
      <c r="M996" s="85">
        <v>46625.120000000003</v>
      </c>
      <c r="N996" s="123">
        <v>90614592</v>
      </c>
      <c r="O996" s="112">
        <f t="shared" si="31"/>
        <v>4.9229783749753508E-3</v>
      </c>
    </row>
    <row r="997" spans="1:15">
      <c r="A997" s="105">
        <v>44447</v>
      </c>
      <c r="B997" s="85">
        <v>119.9</v>
      </c>
      <c r="C997" s="85">
        <v>119.9</v>
      </c>
      <c r="D997" s="85">
        <v>118</v>
      </c>
      <c r="E997" s="85">
        <v>118.96</v>
      </c>
      <c r="F997" s="85">
        <v>1021258</v>
      </c>
      <c r="G997" s="112">
        <f t="shared" si="30"/>
        <v>-1.0916113863465027E-3</v>
      </c>
      <c r="I997" s="105">
        <v>44447</v>
      </c>
      <c r="J997" s="85">
        <v>46756.41</v>
      </c>
      <c r="K997" s="85">
        <v>46877.78</v>
      </c>
      <c r="L997" s="85">
        <v>46307</v>
      </c>
      <c r="M997" s="85">
        <v>46396.71</v>
      </c>
      <c r="N997" s="123">
        <v>143551584</v>
      </c>
      <c r="O997" s="112">
        <f t="shared" si="31"/>
        <v>-7.1313992136949889E-3</v>
      </c>
    </row>
    <row r="998" spans="1:15">
      <c r="A998" s="105">
        <v>44446</v>
      </c>
      <c r="B998" s="85">
        <v>120.25</v>
      </c>
      <c r="C998" s="85">
        <v>120.25</v>
      </c>
      <c r="D998" s="85">
        <v>117</v>
      </c>
      <c r="E998" s="85">
        <v>119.09</v>
      </c>
      <c r="F998" s="85">
        <v>1114530</v>
      </c>
      <c r="G998" s="112">
        <f t="shared" si="30"/>
        <v>-7.4179029838306043E-3</v>
      </c>
      <c r="I998" s="105">
        <v>44446</v>
      </c>
      <c r="J998" s="85">
        <v>46923.33</v>
      </c>
      <c r="K998" s="85">
        <v>46995.1</v>
      </c>
      <c r="L998" s="85">
        <v>46617.98</v>
      </c>
      <c r="M998" s="85">
        <v>46729.96</v>
      </c>
      <c r="N998" s="123">
        <v>126001060</v>
      </c>
      <c r="O998" s="112">
        <f t="shared" si="31"/>
        <v>-4.0188820960251892E-3</v>
      </c>
    </row>
    <row r="999" spans="1:15">
      <c r="A999" s="105">
        <v>44445</v>
      </c>
      <c r="B999" s="85">
        <v>121</v>
      </c>
      <c r="C999" s="85">
        <v>121.88</v>
      </c>
      <c r="D999" s="85">
        <v>119.55</v>
      </c>
      <c r="E999" s="85">
        <v>119.98</v>
      </c>
      <c r="F999" s="85">
        <v>7009352</v>
      </c>
      <c r="G999" s="112">
        <f t="shared" si="30"/>
        <v>-7.0346768186707598E-3</v>
      </c>
      <c r="I999" s="105">
        <v>44445</v>
      </c>
      <c r="J999" s="85">
        <v>46987.79</v>
      </c>
      <c r="K999" s="85">
        <v>47087.839999999997</v>
      </c>
      <c r="L999" s="85">
        <v>46885.85</v>
      </c>
      <c r="M999" s="85">
        <v>46918.52</v>
      </c>
      <c r="N999" s="123">
        <v>94853488</v>
      </c>
      <c r="O999" s="112">
        <f t="shared" si="31"/>
        <v>-8.2947398997446076E-4</v>
      </c>
    </row>
    <row r="1000" spans="1:15">
      <c r="A1000" s="105">
        <v>44442</v>
      </c>
      <c r="B1000" s="85">
        <v>122.5</v>
      </c>
      <c r="C1000" s="85">
        <v>122.99</v>
      </c>
      <c r="D1000" s="85">
        <v>119.75</v>
      </c>
      <c r="E1000" s="85">
        <v>120.83</v>
      </c>
      <c r="F1000" s="85">
        <v>1262849</v>
      </c>
      <c r="G1000" s="112">
        <f t="shared" si="30"/>
        <v>-8.6150311782080546E-3</v>
      </c>
      <c r="I1000" s="105">
        <v>44442</v>
      </c>
      <c r="J1000" s="85">
        <v>46998.7</v>
      </c>
      <c r="K1000" s="85">
        <v>47115.95</v>
      </c>
      <c r="L1000" s="85">
        <v>46879.28</v>
      </c>
      <c r="M1000" s="85">
        <v>46957.47</v>
      </c>
      <c r="N1000" s="123">
        <v>113755957</v>
      </c>
      <c r="O1000" s="112">
        <f t="shared" si="31"/>
        <v>1.160052243926124E-3</v>
      </c>
    </row>
    <row r="1001" spans="1:15">
      <c r="A1001" s="105">
        <v>44441</v>
      </c>
      <c r="B1001" s="85">
        <v>125.5</v>
      </c>
      <c r="C1001" s="85">
        <v>125.5</v>
      </c>
      <c r="D1001" s="85">
        <v>121</v>
      </c>
      <c r="E1001" s="85">
        <v>121.88</v>
      </c>
      <c r="F1001" s="85">
        <v>3167207</v>
      </c>
      <c r="G1001" s="112">
        <f t="shared" si="30"/>
        <v>-1.8521501046867561E-2</v>
      </c>
      <c r="I1001" s="105">
        <v>44441</v>
      </c>
      <c r="J1001" s="85">
        <v>47480.41</v>
      </c>
      <c r="K1001" s="85">
        <v>47491.32</v>
      </c>
      <c r="L1001" s="85">
        <v>46873.06</v>
      </c>
      <c r="M1001" s="85">
        <v>46903.06</v>
      </c>
      <c r="N1001" s="123">
        <v>168360689</v>
      </c>
      <c r="O1001" s="112">
        <f t="shared" si="31"/>
        <v>-1.0764875628144432E-2</v>
      </c>
    </row>
    <row r="1002" spans="1:15">
      <c r="A1002" s="105">
        <v>44440</v>
      </c>
      <c r="B1002" s="85">
        <v>126.5</v>
      </c>
      <c r="C1002" s="85">
        <v>126.5</v>
      </c>
      <c r="D1002" s="85">
        <v>124</v>
      </c>
      <c r="E1002" s="85">
        <v>124.18</v>
      </c>
      <c r="F1002" s="85">
        <v>755613</v>
      </c>
      <c r="G1002" s="112">
        <f t="shared" si="30"/>
        <v>-8.1469648562300101E-3</v>
      </c>
      <c r="I1002" s="105">
        <v>44440</v>
      </c>
      <c r="J1002" s="85">
        <v>47423.49</v>
      </c>
      <c r="K1002" s="85">
        <v>47629.2</v>
      </c>
      <c r="L1002" s="85">
        <v>47352.54</v>
      </c>
      <c r="M1002" s="85">
        <v>47413.46</v>
      </c>
      <c r="N1002" s="123">
        <v>111881575</v>
      </c>
      <c r="O1002" s="112">
        <f t="shared" si="31"/>
        <v>-1.324342984587723E-4</v>
      </c>
    </row>
    <row r="1003" spans="1:15">
      <c r="A1003" s="105">
        <v>44439</v>
      </c>
      <c r="B1003" s="85">
        <v>125</v>
      </c>
      <c r="C1003" s="85">
        <v>127.35</v>
      </c>
      <c r="D1003" s="85">
        <v>124.07</v>
      </c>
      <c r="E1003" s="85">
        <v>125.2</v>
      </c>
      <c r="F1003" s="85">
        <v>1716145</v>
      </c>
      <c r="G1003" s="112">
        <f t="shared" si="30"/>
        <v>3.8486209108403724E-3</v>
      </c>
      <c r="I1003" s="105">
        <v>44439</v>
      </c>
      <c r="J1003" s="85">
        <v>47406.239999999998</v>
      </c>
      <c r="K1003" s="85">
        <v>47596.81</v>
      </c>
      <c r="L1003" s="85">
        <v>47349.49</v>
      </c>
      <c r="M1003" s="85">
        <v>47419.74</v>
      </c>
      <c r="N1003" s="123">
        <v>128812516</v>
      </c>
      <c r="O1003" s="112">
        <f t="shared" si="31"/>
        <v>1.1409099833845637E-3</v>
      </c>
    </row>
    <row r="1004" spans="1:15">
      <c r="A1004" s="105">
        <v>44438</v>
      </c>
      <c r="B1004" s="85">
        <v>126.93</v>
      </c>
      <c r="C1004" s="85">
        <v>126.93</v>
      </c>
      <c r="D1004" s="85">
        <v>122.2</v>
      </c>
      <c r="E1004" s="85">
        <v>124.72</v>
      </c>
      <c r="F1004" s="85">
        <v>1847573</v>
      </c>
      <c r="G1004" s="112">
        <f t="shared" si="30"/>
        <v>-1.7411171511857004E-2</v>
      </c>
      <c r="I1004" s="105">
        <v>44438</v>
      </c>
      <c r="J1004" s="85">
        <v>47158.45</v>
      </c>
      <c r="K1004" s="85">
        <v>47468.14</v>
      </c>
      <c r="L1004" s="85">
        <v>47158.45</v>
      </c>
      <c r="M1004" s="85">
        <v>47365.7</v>
      </c>
      <c r="N1004" s="123">
        <v>147181132</v>
      </c>
      <c r="O1004" s="112">
        <f t="shared" si="31"/>
        <v>4.8618343352808679E-3</v>
      </c>
    </row>
    <row r="1005" spans="1:15">
      <c r="A1005" s="105">
        <v>44435</v>
      </c>
      <c r="B1005" s="85">
        <v>128.6</v>
      </c>
      <c r="C1005" s="85">
        <v>128.6</v>
      </c>
      <c r="D1005" s="85">
        <v>125.76</v>
      </c>
      <c r="E1005" s="85">
        <v>126.93</v>
      </c>
      <c r="F1005" s="85">
        <v>700103</v>
      </c>
      <c r="G1005" s="112">
        <f t="shared" si="30"/>
        <v>-1.2602100350058376E-2</v>
      </c>
      <c r="I1005" s="105">
        <v>44435</v>
      </c>
      <c r="J1005" s="85">
        <v>47372</v>
      </c>
      <c r="K1005" s="85">
        <v>47392.24</v>
      </c>
      <c r="L1005" s="85">
        <v>46869.1</v>
      </c>
      <c r="M1005" s="85">
        <v>47136.53</v>
      </c>
      <c r="N1005" s="123">
        <v>181761567</v>
      </c>
      <c r="O1005" s="112">
        <f t="shared" si="31"/>
        <v>-4.7872539206013087E-3</v>
      </c>
    </row>
    <row r="1006" spans="1:15">
      <c r="A1006" s="105">
        <v>44434</v>
      </c>
      <c r="B1006" s="85">
        <v>129.5</v>
      </c>
      <c r="C1006" s="85">
        <v>129.5</v>
      </c>
      <c r="D1006" s="85">
        <v>128.06</v>
      </c>
      <c r="E1006" s="85">
        <v>128.55000000000001</v>
      </c>
      <c r="F1006" s="85">
        <v>546479</v>
      </c>
      <c r="G1006" s="112">
        <f t="shared" si="30"/>
        <v>-7.1058932571250732E-3</v>
      </c>
      <c r="I1006" s="105">
        <v>44434</v>
      </c>
      <c r="J1006" s="85">
        <v>47658.28</v>
      </c>
      <c r="K1006" s="85">
        <v>47759.5</v>
      </c>
      <c r="L1006" s="85">
        <v>47260.35</v>
      </c>
      <c r="M1006" s="85">
        <v>47363.27</v>
      </c>
      <c r="N1006" s="123">
        <v>124954605</v>
      </c>
      <c r="O1006" s="112">
        <f t="shared" si="31"/>
        <v>-5.7232045579070912E-3</v>
      </c>
    </row>
    <row r="1007" spans="1:15">
      <c r="A1007" s="105">
        <v>44433</v>
      </c>
      <c r="B1007" s="85">
        <v>129.16999999999999</v>
      </c>
      <c r="C1007" s="85">
        <v>129.88</v>
      </c>
      <c r="D1007" s="85">
        <v>129</v>
      </c>
      <c r="E1007" s="85">
        <v>129.47</v>
      </c>
      <c r="F1007" s="85">
        <v>514053</v>
      </c>
      <c r="G1007" s="112">
        <f t="shared" si="30"/>
        <v>-7.7232004942806576E-5</v>
      </c>
      <c r="I1007" s="105">
        <v>44433</v>
      </c>
      <c r="J1007" s="85">
        <v>47862.51</v>
      </c>
      <c r="K1007" s="85">
        <v>47916.95</v>
      </c>
      <c r="L1007" s="85">
        <v>47617.93</v>
      </c>
      <c r="M1007" s="85">
        <v>47635.9</v>
      </c>
      <c r="N1007" s="123">
        <v>128944862</v>
      </c>
      <c r="O1007" s="112">
        <f t="shared" si="31"/>
        <v>-4.0312607218551122E-3</v>
      </c>
    </row>
    <row r="1008" spans="1:15">
      <c r="A1008" s="105">
        <v>44432</v>
      </c>
      <c r="B1008" s="85">
        <v>130.19999999999999</v>
      </c>
      <c r="C1008" s="85">
        <v>130.94999999999999</v>
      </c>
      <c r="D1008" s="85">
        <v>129.30000000000001</v>
      </c>
      <c r="E1008" s="85">
        <v>129.47999999999999</v>
      </c>
      <c r="F1008" s="85">
        <v>665106</v>
      </c>
      <c r="G1008" s="112">
        <f t="shared" si="30"/>
        <v>-5.5299539170506895E-3</v>
      </c>
      <c r="I1008" s="105">
        <v>44432</v>
      </c>
      <c r="J1008" s="85">
        <v>48089.35</v>
      </c>
      <c r="K1008" s="85">
        <v>48114.95</v>
      </c>
      <c r="L1008" s="85">
        <v>47739.53</v>
      </c>
      <c r="M1008" s="85">
        <v>47828.71</v>
      </c>
      <c r="N1008" s="123">
        <v>129476119</v>
      </c>
      <c r="O1008" s="112">
        <f t="shared" si="31"/>
        <v>-5.8924751118271113E-3</v>
      </c>
    </row>
    <row r="1009" spans="1:15">
      <c r="A1009" s="105">
        <v>44431</v>
      </c>
      <c r="B1009" s="85">
        <v>129.52000000000001</v>
      </c>
      <c r="C1009" s="85">
        <v>130.99</v>
      </c>
      <c r="D1009" s="85">
        <v>129.5</v>
      </c>
      <c r="E1009" s="85">
        <v>130.19999999999999</v>
      </c>
      <c r="F1009" s="85">
        <v>1436189</v>
      </c>
      <c r="G1009" s="112">
        <f t="shared" si="30"/>
        <v>5.2501544163061631E-3</v>
      </c>
      <c r="I1009" s="105">
        <v>44431</v>
      </c>
      <c r="J1009" s="85">
        <v>47681.64</v>
      </c>
      <c r="K1009" s="85">
        <v>48146.19</v>
      </c>
      <c r="L1009" s="85">
        <v>47681.64</v>
      </c>
      <c r="M1009" s="85">
        <v>48112.21</v>
      </c>
      <c r="N1009" s="123">
        <v>147539228</v>
      </c>
      <c r="O1009" s="112">
        <f t="shared" si="31"/>
        <v>1.0764536504549893E-2</v>
      </c>
    </row>
    <row r="1010" spans="1:15">
      <c r="A1010" s="105">
        <v>44428</v>
      </c>
      <c r="B1010" s="85">
        <v>130</v>
      </c>
      <c r="C1010" s="85">
        <v>130.44999999999999</v>
      </c>
      <c r="D1010" s="85">
        <v>129.30000000000001</v>
      </c>
      <c r="E1010" s="85">
        <v>129.52000000000001</v>
      </c>
      <c r="F1010" s="85">
        <v>657240</v>
      </c>
      <c r="G1010" s="112">
        <f t="shared" si="30"/>
        <v>-1.8495684340319452E-3</v>
      </c>
      <c r="I1010" s="105">
        <v>44428</v>
      </c>
      <c r="J1010" s="85">
        <v>47406.6</v>
      </c>
      <c r="K1010" s="85">
        <v>47644.34</v>
      </c>
      <c r="L1010" s="85">
        <v>47337.13</v>
      </c>
      <c r="M1010" s="85">
        <v>47599.82</v>
      </c>
      <c r="N1010" s="123">
        <v>119839311</v>
      </c>
      <c r="O1010" s="112">
        <f t="shared" si="31"/>
        <v>7.2234700884181713E-3</v>
      </c>
    </row>
    <row r="1011" spans="1:15">
      <c r="A1011" s="105">
        <v>44425</v>
      </c>
      <c r="B1011" s="85">
        <v>130.65</v>
      </c>
      <c r="C1011" s="85">
        <v>131</v>
      </c>
      <c r="D1011" s="85">
        <v>129.1</v>
      </c>
      <c r="E1011" s="85">
        <v>129.76</v>
      </c>
      <c r="F1011" s="85">
        <v>554445</v>
      </c>
      <c r="G1011" s="112">
        <f t="shared" si="30"/>
        <v>-1.2315270935960854E-3</v>
      </c>
      <c r="I1011" s="105">
        <v>44425</v>
      </c>
      <c r="J1011" s="85">
        <v>46975.13</v>
      </c>
      <c r="K1011" s="85">
        <v>47274.52</v>
      </c>
      <c r="L1011" s="85">
        <v>46975.13</v>
      </c>
      <c r="M1011" s="85">
        <v>47258.45</v>
      </c>
      <c r="N1011" s="123">
        <v>81902829</v>
      </c>
      <c r="O1011" s="112">
        <f t="shared" si="31"/>
        <v>7.3681399038512119E-3</v>
      </c>
    </row>
    <row r="1012" spans="1:15">
      <c r="A1012" s="105">
        <v>44424</v>
      </c>
      <c r="B1012" s="85">
        <v>129.97</v>
      </c>
      <c r="C1012" s="85">
        <v>130.5</v>
      </c>
      <c r="D1012" s="85">
        <v>128.25</v>
      </c>
      <c r="E1012" s="85">
        <v>129.91999999999999</v>
      </c>
      <c r="F1012" s="85">
        <v>577568</v>
      </c>
      <c r="G1012" s="112">
        <f t="shared" si="30"/>
        <v>1.8507094386179812E-3</v>
      </c>
      <c r="I1012" s="105">
        <v>44424</v>
      </c>
      <c r="J1012" s="85">
        <v>47134.71</v>
      </c>
      <c r="K1012" s="85">
        <v>47173.03</v>
      </c>
      <c r="L1012" s="85">
        <v>46672.19</v>
      </c>
      <c r="M1012" s="85">
        <v>46912.79</v>
      </c>
      <c r="N1012" s="123">
        <v>88224626</v>
      </c>
      <c r="O1012" s="112">
        <f t="shared" si="31"/>
        <v>-5.4494566867302474E-3</v>
      </c>
    </row>
    <row r="1013" spans="1:15">
      <c r="A1013" s="105">
        <v>44421</v>
      </c>
      <c r="B1013" s="85">
        <v>129</v>
      </c>
      <c r="C1013" s="85">
        <v>129.97999999999999</v>
      </c>
      <c r="D1013" s="85">
        <v>128.6</v>
      </c>
      <c r="E1013" s="85">
        <v>129.68</v>
      </c>
      <c r="F1013" s="85">
        <v>212232</v>
      </c>
      <c r="G1013" s="112">
        <f t="shared" si="30"/>
        <v>2.8613409635760423E-3</v>
      </c>
      <c r="I1013" s="105">
        <v>44421</v>
      </c>
      <c r="J1013" s="85">
        <v>47319.839999999997</v>
      </c>
      <c r="K1013" s="85">
        <v>47320.31</v>
      </c>
      <c r="L1013" s="85">
        <v>47123.38</v>
      </c>
      <c r="M1013" s="85">
        <v>47169.84</v>
      </c>
      <c r="N1013" s="123">
        <v>56393997</v>
      </c>
      <c r="O1013" s="112">
        <f t="shared" si="31"/>
        <v>-2.1349349999874034E-3</v>
      </c>
    </row>
    <row r="1014" spans="1:15">
      <c r="A1014" s="105">
        <v>44420</v>
      </c>
      <c r="B1014" s="85">
        <v>128.84</v>
      </c>
      <c r="C1014" s="85">
        <v>129.72</v>
      </c>
      <c r="D1014" s="85">
        <v>128.55000000000001</v>
      </c>
      <c r="E1014" s="85">
        <v>129.31</v>
      </c>
      <c r="F1014" s="85">
        <v>269949</v>
      </c>
      <c r="G1014" s="112">
        <f t="shared" si="30"/>
        <v>3.6479354237815009E-3</v>
      </c>
      <c r="I1014" s="105">
        <v>44420</v>
      </c>
      <c r="J1014" s="85">
        <v>47503.44</v>
      </c>
      <c r="K1014" s="85">
        <v>47556.54</v>
      </c>
      <c r="L1014" s="85">
        <v>47175</v>
      </c>
      <c r="M1014" s="85">
        <v>47270.76</v>
      </c>
      <c r="N1014" s="123">
        <v>93989645</v>
      </c>
      <c r="O1014" s="112">
        <f t="shared" si="31"/>
        <v>-2.2504410332524483E-3</v>
      </c>
    </row>
    <row r="1015" spans="1:15">
      <c r="A1015" s="105">
        <v>44419</v>
      </c>
      <c r="B1015" s="85">
        <v>128.46</v>
      </c>
      <c r="C1015" s="85">
        <v>130.47999999999999</v>
      </c>
      <c r="D1015" s="85">
        <v>128.05000000000001</v>
      </c>
      <c r="E1015" s="85">
        <v>128.84</v>
      </c>
      <c r="F1015" s="85">
        <v>606895</v>
      </c>
      <c r="G1015" s="112">
        <f t="shared" si="30"/>
        <v>2.9581192589132055E-3</v>
      </c>
      <c r="I1015" s="105">
        <v>44419</v>
      </c>
      <c r="J1015" s="85">
        <v>47312.14</v>
      </c>
      <c r="K1015" s="85">
        <v>47627.59</v>
      </c>
      <c r="L1015" s="85">
        <v>47291.59</v>
      </c>
      <c r="M1015" s="85">
        <v>47377.38</v>
      </c>
      <c r="N1015" s="123">
        <v>138307014</v>
      </c>
      <c r="O1015" s="112">
        <f t="shared" si="31"/>
        <v>5.1320152038336619E-3</v>
      </c>
    </row>
    <row r="1016" spans="1:15">
      <c r="A1016" s="105">
        <v>44418</v>
      </c>
      <c r="B1016" s="85">
        <v>128.85</v>
      </c>
      <c r="C1016" s="85">
        <v>128.94999999999999</v>
      </c>
      <c r="D1016" s="85">
        <v>127.55</v>
      </c>
      <c r="E1016" s="85">
        <v>128.46</v>
      </c>
      <c r="F1016" s="85">
        <v>170810</v>
      </c>
      <c r="G1016" s="112">
        <f t="shared" si="30"/>
        <v>2.3359028264424708E-4</v>
      </c>
      <c r="I1016" s="105">
        <v>44418</v>
      </c>
      <c r="J1016" s="85">
        <v>47127.98</v>
      </c>
      <c r="K1016" s="85">
        <v>47272.88</v>
      </c>
      <c r="L1016" s="85">
        <v>46928.160000000003</v>
      </c>
      <c r="M1016" s="85">
        <v>47135.48</v>
      </c>
      <c r="N1016" s="123">
        <v>128467360</v>
      </c>
      <c r="O1016" s="112">
        <f t="shared" si="31"/>
        <v>2.5167845763962582E-4</v>
      </c>
    </row>
    <row r="1017" spans="1:15">
      <c r="A1017" s="105">
        <v>44417</v>
      </c>
      <c r="B1017" s="85">
        <v>129.88999999999999</v>
      </c>
      <c r="C1017" s="85">
        <v>129.88999999999999</v>
      </c>
      <c r="D1017" s="85">
        <v>127.1</v>
      </c>
      <c r="E1017" s="85">
        <v>128.43</v>
      </c>
      <c r="F1017" s="85">
        <v>997110</v>
      </c>
      <c r="G1017" s="112">
        <f t="shared" si="30"/>
        <v>-4.8814504881450338E-3</v>
      </c>
      <c r="I1017" s="105">
        <v>44417</v>
      </c>
      <c r="J1017" s="85">
        <v>47542.61</v>
      </c>
      <c r="K1017" s="85">
        <v>47625.42</v>
      </c>
      <c r="L1017" s="85">
        <v>47039.45</v>
      </c>
      <c r="M1017" s="85">
        <v>47123.62</v>
      </c>
      <c r="N1017" s="123">
        <v>107174904</v>
      </c>
      <c r="O1017" s="112">
        <f t="shared" si="31"/>
        <v>-7.7138426130158866E-3</v>
      </c>
    </row>
    <row r="1018" spans="1:15">
      <c r="A1018" s="105">
        <v>44414</v>
      </c>
      <c r="B1018" s="85">
        <v>129.05000000000001</v>
      </c>
      <c r="C1018" s="85">
        <v>129.85</v>
      </c>
      <c r="D1018" s="85">
        <v>128.72</v>
      </c>
      <c r="E1018" s="85">
        <v>129.06</v>
      </c>
      <c r="F1018" s="85">
        <v>644190</v>
      </c>
      <c r="G1018" s="112">
        <f t="shared" si="30"/>
        <v>-2.7816411682891617E-3</v>
      </c>
      <c r="I1018" s="105">
        <v>44414</v>
      </c>
      <c r="J1018" s="85">
        <v>47658.92</v>
      </c>
      <c r="K1018" s="85">
        <v>47752.95</v>
      </c>
      <c r="L1018" s="85">
        <v>47425.03</v>
      </c>
      <c r="M1018" s="85">
        <v>47489.95</v>
      </c>
      <c r="N1018" s="123">
        <v>137087074</v>
      </c>
      <c r="O1018" s="112">
        <f t="shared" si="31"/>
        <v>-3.1680774998278372E-3</v>
      </c>
    </row>
    <row r="1019" spans="1:15">
      <c r="A1019" s="105">
        <v>44413</v>
      </c>
      <c r="B1019" s="85">
        <v>129.5</v>
      </c>
      <c r="C1019" s="85">
        <v>130</v>
      </c>
      <c r="D1019" s="85">
        <v>128.5</v>
      </c>
      <c r="E1019" s="85">
        <v>129.41999999999999</v>
      </c>
      <c r="F1019" s="85">
        <v>2016262</v>
      </c>
      <c r="G1019" s="112">
        <f t="shared" si="30"/>
        <v>-1.2347584503783482E-3</v>
      </c>
      <c r="I1019" s="105">
        <v>44413</v>
      </c>
      <c r="J1019" s="85">
        <v>47826.52</v>
      </c>
      <c r="K1019" s="85">
        <v>47896.84</v>
      </c>
      <c r="L1019" s="85">
        <v>47582.77</v>
      </c>
      <c r="M1019" s="85">
        <v>47640.88</v>
      </c>
      <c r="N1019" s="123">
        <v>207127795</v>
      </c>
      <c r="O1019" s="112">
        <f t="shared" si="31"/>
        <v>-3.1178149013975087E-3</v>
      </c>
    </row>
    <row r="1020" spans="1:15">
      <c r="A1020" s="105">
        <v>44412</v>
      </c>
      <c r="B1020" s="85">
        <v>128.97999999999999</v>
      </c>
      <c r="C1020" s="85">
        <v>129.99</v>
      </c>
      <c r="D1020" s="85">
        <v>128.01</v>
      </c>
      <c r="E1020" s="85">
        <v>129.58000000000001</v>
      </c>
      <c r="F1020" s="85">
        <v>1147034</v>
      </c>
      <c r="G1020" s="112">
        <f t="shared" si="30"/>
        <v>8.4046692607004925E-3</v>
      </c>
      <c r="I1020" s="105">
        <v>44412</v>
      </c>
      <c r="J1020" s="85">
        <v>47825.88</v>
      </c>
      <c r="K1020" s="85">
        <v>47980.12</v>
      </c>
      <c r="L1020" s="85">
        <v>47709.38</v>
      </c>
      <c r="M1020" s="85">
        <v>47789.88</v>
      </c>
      <c r="N1020" s="123">
        <v>165225226</v>
      </c>
      <c r="O1020" s="112">
        <f t="shared" si="31"/>
        <v>6.6082726528060576E-4</v>
      </c>
    </row>
    <row r="1021" spans="1:15">
      <c r="A1021" s="105">
        <v>44411</v>
      </c>
      <c r="B1021" s="85">
        <v>127.7</v>
      </c>
      <c r="C1021" s="85">
        <v>128.88</v>
      </c>
      <c r="D1021" s="85">
        <v>127.11</v>
      </c>
      <c r="E1021" s="85">
        <v>128.5</v>
      </c>
      <c r="F1021" s="85">
        <v>850269</v>
      </c>
      <c r="G1021" s="112">
        <f t="shared" si="30"/>
        <v>1.1014948859165985E-2</v>
      </c>
      <c r="I1021" s="105">
        <v>44411</v>
      </c>
      <c r="J1021" s="85">
        <v>47529.599999999999</v>
      </c>
      <c r="K1021" s="85">
        <v>47808.63</v>
      </c>
      <c r="L1021" s="85">
        <v>47513.18</v>
      </c>
      <c r="M1021" s="85">
        <v>47758.32</v>
      </c>
      <c r="N1021" s="123">
        <v>143341857</v>
      </c>
      <c r="O1021" s="112">
        <f t="shared" si="31"/>
        <v>6.4288536612349123E-3</v>
      </c>
    </row>
    <row r="1022" spans="1:15">
      <c r="A1022" s="105">
        <v>44410</v>
      </c>
      <c r="B1022" s="85">
        <v>126</v>
      </c>
      <c r="C1022" s="85">
        <v>128</v>
      </c>
      <c r="D1022" s="85">
        <v>125.91</v>
      </c>
      <c r="E1022" s="85">
        <v>127.1</v>
      </c>
      <c r="F1022" s="85">
        <v>1102000</v>
      </c>
      <c r="G1022" s="112">
        <f t="shared" si="30"/>
        <v>3.3946475092760942E-3</v>
      </c>
      <c r="I1022" s="105">
        <v>44410</v>
      </c>
      <c r="J1022" s="85">
        <v>47104.52</v>
      </c>
      <c r="K1022" s="85">
        <v>47508.74</v>
      </c>
      <c r="L1022" s="85">
        <v>47047.14</v>
      </c>
      <c r="M1022" s="85">
        <v>47453.25</v>
      </c>
      <c r="N1022" s="123">
        <v>89313070</v>
      </c>
      <c r="O1022" s="112">
        <f t="shared" si="31"/>
        <v>8.4572850363902052E-3</v>
      </c>
    </row>
    <row r="1023" spans="1:15">
      <c r="A1023" s="105">
        <v>44407</v>
      </c>
      <c r="B1023" s="85">
        <v>129</v>
      </c>
      <c r="C1023" s="85">
        <v>129.47</v>
      </c>
      <c r="D1023" s="85">
        <v>126</v>
      </c>
      <c r="E1023" s="85">
        <v>126.67</v>
      </c>
      <c r="F1023" s="85">
        <v>2104560</v>
      </c>
      <c r="G1023" s="112">
        <f t="shared" si="30"/>
        <v>-1.7528891646629963E-2</v>
      </c>
      <c r="I1023" s="105">
        <v>44407</v>
      </c>
      <c r="J1023" s="85">
        <v>47417.87</v>
      </c>
      <c r="K1023" s="85">
        <v>47642.79</v>
      </c>
      <c r="L1023" s="85">
        <v>46921.599999999999</v>
      </c>
      <c r="M1023" s="85">
        <v>47055.29</v>
      </c>
      <c r="N1023" s="123">
        <v>156531487</v>
      </c>
      <c r="O1023" s="112">
        <f t="shared" si="31"/>
        <v>-5.4328332593216455E-3</v>
      </c>
    </row>
    <row r="1024" spans="1:15">
      <c r="A1024" s="105">
        <v>44406</v>
      </c>
      <c r="B1024" s="85">
        <v>131</v>
      </c>
      <c r="C1024" s="85">
        <v>131</v>
      </c>
      <c r="D1024" s="85">
        <v>128.5</v>
      </c>
      <c r="E1024" s="85">
        <v>128.93</v>
      </c>
      <c r="F1024" s="85">
        <v>531104</v>
      </c>
      <c r="G1024" s="112">
        <f t="shared" si="30"/>
        <v>-1.4296636085626924E-2</v>
      </c>
      <c r="I1024" s="105">
        <v>44406</v>
      </c>
      <c r="J1024" s="85">
        <v>47354.09</v>
      </c>
      <c r="K1024" s="85">
        <v>47374.559999999998</v>
      </c>
      <c r="L1024" s="85">
        <v>46955.09</v>
      </c>
      <c r="M1024" s="85">
        <v>47312.33</v>
      </c>
      <c r="N1024" s="123">
        <v>156475235</v>
      </c>
      <c r="O1024" s="112">
        <f t="shared" si="31"/>
        <v>-1.2046148159583492E-4</v>
      </c>
    </row>
    <row r="1025" spans="1:15">
      <c r="A1025" s="105">
        <v>44405</v>
      </c>
      <c r="B1025" s="85">
        <v>131.9</v>
      </c>
      <c r="C1025" s="85">
        <v>131.9</v>
      </c>
      <c r="D1025" s="85">
        <v>129.55000000000001</v>
      </c>
      <c r="E1025" s="85">
        <v>130.80000000000001</v>
      </c>
      <c r="F1025" s="85">
        <v>802489</v>
      </c>
      <c r="G1025" s="112">
        <f t="shared" si="30"/>
        <v>-3.8839387708475837E-3</v>
      </c>
      <c r="I1025" s="105">
        <v>44405</v>
      </c>
      <c r="J1025" s="85">
        <v>47780.959999999999</v>
      </c>
      <c r="K1025" s="85">
        <v>47874.69</v>
      </c>
      <c r="L1025" s="85">
        <v>47241.55</v>
      </c>
      <c r="M1025" s="85">
        <v>47318.03</v>
      </c>
      <c r="N1025" s="123">
        <v>128927617</v>
      </c>
      <c r="O1025" s="112">
        <f t="shared" si="31"/>
        <v>-7.7371207534800979E-3</v>
      </c>
    </row>
    <row r="1026" spans="1:15">
      <c r="A1026" s="105">
        <v>44404</v>
      </c>
      <c r="B1026" s="85">
        <v>127.8</v>
      </c>
      <c r="C1026" s="85">
        <v>131.94999999999999</v>
      </c>
      <c r="D1026" s="85">
        <v>127.8</v>
      </c>
      <c r="E1026" s="85">
        <v>131.31</v>
      </c>
      <c r="F1026" s="85">
        <v>2267549</v>
      </c>
      <c r="G1026" s="112">
        <f t="shared" si="30"/>
        <v>1.9804287045666502E-2</v>
      </c>
      <c r="I1026" s="105">
        <v>44404</v>
      </c>
      <c r="J1026" s="85">
        <v>47712.99</v>
      </c>
      <c r="K1026" s="85">
        <v>47910.12</v>
      </c>
      <c r="L1026" s="85">
        <v>47616.73</v>
      </c>
      <c r="M1026" s="85">
        <v>47686.99</v>
      </c>
      <c r="N1026" s="123">
        <v>162297006</v>
      </c>
      <c r="O1026" s="112">
        <f t="shared" si="31"/>
        <v>3.0017192236719836E-4</v>
      </c>
    </row>
    <row r="1027" spans="1:15">
      <c r="A1027" s="105">
        <v>44403</v>
      </c>
      <c r="B1027" s="85">
        <v>129.97999999999999</v>
      </c>
      <c r="C1027" s="85">
        <v>130.44999999999999</v>
      </c>
      <c r="D1027" s="85">
        <v>128.1</v>
      </c>
      <c r="E1027" s="85">
        <v>128.76</v>
      </c>
      <c r="F1027" s="85">
        <v>607740</v>
      </c>
      <c r="G1027" s="112">
        <f t="shared" si="30"/>
        <v>-4.2533446755859128E-3</v>
      </c>
      <c r="I1027" s="105">
        <v>44403</v>
      </c>
      <c r="J1027" s="85">
        <v>47832.84</v>
      </c>
      <c r="K1027" s="85">
        <v>47930.85</v>
      </c>
      <c r="L1027" s="85">
        <v>47606.89</v>
      </c>
      <c r="M1027" s="85">
        <v>47672.68</v>
      </c>
      <c r="N1027" s="123">
        <v>91315872</v>
      </c>
      <c r="O1027" s="112">
        <f t="shared" si="31"/>
        <v>-2.5189844469083456E-3</v>
      </c>
    </row>
    <row r="1028" spans="1:15">
      <c r="A1028" s="105">
        <v>44400</v>
      </c>
      <c r="B1028" s="85">
        <v>129.35</v>
      </c>
      <c r="C1028" s="85">
        <v>130.1</v>
      </c>
      <c r="D1028" s="85">
        <v>128.07</v>
      </c>
      <c r="E1028" s="85">
        <v>129.31</v>
      </c>
      <c r="F1028" s="85">
        <v>228896</v>
      </c>
      <c r="G1028" s="112">
        <f t="shared" ref="G1028:G1091" si="32">E1028/E1029-1</f>
        <v>-3.0923850019326515E-4</v>
      </c>
      <c r="I1028" s="105">
        <v>44400</v>
      </c>
      <c r="J1028" s="85">
        <v>47873.26</v>
      </c>
      <c r="K1028" s="85">
        <v>47947.66</v>
      </c>
      <c r="L1028" s="85">
        <v>47686.5</v>
      </c>
      <c r="M1028" s="85">
        <v>47793.07</v>
      </c>
      <c r="N1028" s="123">
        <v>122865664</v>
      </c>
      <c r="O1028" s="112">
        <f t="shared" ref="O1028:O1091" si="33">M1028/M1029-1</f>
        <v>-1.6750478241924771E-3</v>
      </c>
    </row>
    <row r="1029" spans="1:15">
      <c r="A1029" s="105">
        <v>44396</v>
      </c>
      <c r="B1029" s="85">
        <v>130</v>
      </c>
      <c r="C1029" s="85">
        <v>130</v>
      </c>
      <c r="D1029" s="85">
        <v>128.5</v>
      </c>
      <c r="E1029" s="85">
        <v>129.35</v>
      </c>
      <c r="F1029" s="85">
        <v>123932</v>
      </c>
      <c r="G1029" s="112">
        <f t="shared" si="32"/>
        <v>-4.770331614988077E-3</v>
      </c>
      <c r="I1029" s="105">
        <v>44396</v>
      </c>
      <c r="J1029" s="85">
        <v>47978.3</v>
      </c>
      <c r="K1029" s="85">
        <v>48006.44</v>
      </c>
      <c r="L1029" s="85">
        <v>47751.38</v>
      </c>
      <c r="M1029" s="85">
        <v>47873.26</v>
      </c>
      <c r="N1029" s="123">
        <v>108549437</v>
      </c>
      <c r="O1029" s="112">
        <f t="shared" si="33"/>
        <v>8.1385063823402604E-4</v>
      </c>
    </row>
    <row r="1030" spans="1:15">
      <c r="A1030" s="105">
        <v>44393</v>
      </c>
      <c r="B1030" s="85">
        <v>129.01</v>
      </c>
      <c r="C1030" s="85">
        <v>130.5</v>
      </c>
      <c r="D1030" s="85">
        <v>128</v>
      </c>
      <c r="E1030" s="85">
        <v>129.97</v>
      </c>
      <c r="F1030" s="85">
        <v>1065671</v>
      </c>
      <c r="G1030" s="112">
        <f t="shared" si="32"/>
        <v>1.2148586558679231E-2</v>
      </c>
      <c r="I1030" s="105">
        <v>44393</v>
      </c>
      <c r="J1030" s="85">
        <v>47672.83</v>
      </c>
      <c r="K1030" s="85">
        <v>47892.2</v>
      </c>
      <c r="L1030" s="85">
        <v>47627.61</v>
      </c>
      <c r="M1030" s="85">
        <v>47834.33</v>
      </c>
      <c r="N1030" s="123">
        <v>109205226</v>
      </c>
      <c r="O1030" s="112">
        <f t="shared" si="33"/>
        <v>4.3266329695856864E-3</v>
      </c>
    </row>
    <row r="1031" spans="1:15">
      <c r="A1031" s="105">
        <v>44392</v>
      </c>
      <c r="B1031" s="85">
        <v>129.44999999999999</v>
      </c>
      <c r="C1031" s="85">
        <v>129.59</v>
      </c>
      <c r="D1031" s="85">
        <v>128</v>
      </c>
      <c r="E1031" s="85">
        <v>128.41</v>
      </c>
      <c r="F1031" s="85">
        <v>470488</v>
      </c>
      <c r="G1031" s="112">
        <f t="shared" si="32"/>
        <v>-4.0331963080741939E-3</v>
      </c>
      <c r="I1031" s="105">
        <v>44392</v>
      </c>
      <c r="J1031" s="85">
        <v>47498.61</v>
      </c>
      <c r="K1031" s="85">
        <v>47737.38</v>
      </c>
      <c r="L1031" s="85">
        <v>47388.42</v>
      </c>
      <c r="M1031" s="85">
        <v>47628.26</v>
      </c>
      <c r="N1031" s="123">
        <v>191691580</v>
      </c>
      <c r="O1031" s="112">
        <f t="shared" si="33"/>
        <v>2.8803067161324858E-3</v>
      </c>
    </row>
    <row r="1032" spans="1:15">
      <c r="A1032" s="105">
        <v>44391</v>
      </c>
      <c r="B1032" s="85">
        <v>129.30000000000001</v>
      </c>
      <c r="C1032" s="85">
        <v>129.49</v>
      </c>
      <c r="D1032" s="85">
        <v>127.62</v>
      </c>
      <c r="E1032" s="85">
        <v>128.93</v>
      </c>
      <c r="F1032" s="85">
        <v>641310</v>
      </c>
      <c r="G1032" s="112">
        <f t="shared" si="32"/>
        <v>-3.1014964720466054E-4</v>
      </c>
      <c r="I1032" s="105">
        <v>44391</v>
      </c>
      <c r="J1032" s="85">
        <v>47523.72</v>
      </c>
      <c r="K1032" s="85">
        <v>47595.72</v>
      </c>
      <c r="L1032" s="85">
        <v>47442.19</v>
      </c>
      <c r="M1032" s="85">
        <v>47491.47</v>
      </c>
      <c r="N1032" s="123">
        <v>162998975</v>
      </c>
      <c r="O1032" s="112">
        <f t="shared" si="33"/>
        <v>2.3125287881398116E-4</v>
      </c>
    </row>
    <row r="1033" spans="1:15">
      <c r="A1033" s="105">
        <v>44390</v>
      </c>
      <c r="B1033" s="85">
        <v>129.5</v>
      </c>
      <c r="C1033" s="85">
        <v>129.5</v>
      </c>
      <c r="D1033" s="85">
        <v>127.5</v>
      </c>
      <c r="E1033" s="85">
        <v>128.97</v>
      </c>
      <c r="F1033" s="85">
        <v>777781</v>
      </c>
      <c r="G1033" s="112">
        <f t="shared" si="32"/>
        <v>-4.6500813764238647E-4</v>
      </c>
      <c r="I1033" s="105">
        <v>44390</v>
      </c>
      <c r="J1033" s="85">
        <v>47453.49</v>
      </c>
      <c r="K1033" s="85">
        <v>47586.07</v>
      </c>
      <c r="L1033" s="85">
        <v>47439.89</v>
      </c>
      <c r="M1033" s="85">
        <v>47480.49</v>
      </c>
      <c r="N1033" s="123">
        <v>102458788</v>
      </c>
      <c r="O1033" s="112">
        <f t="shared" si="33"/>
        <v>7.041529215285891E-4</v>
      </c>
    </row>
    <row r="1034" spans="1:15">
      <c r="A1034" s="105">
        <v>44389</v>
      </c>
      <c r="B1034" s="85">
        <v>129.44</v>
      </c>
      <c r="C1034" s="85">
        <v>129.94999999999999</v>
      </c>
      <c r="D1034" s="85">
        <v>127.31</v>
      </c>
      <c r="E1034" s="85">
        <v>129.03</v>
      </c>
      <c r="F1034" s="85">
        <v>483083</v>
      </c>
      <c r="G1034" s="112">
        <f t="shared" si="32"/>
        <v>2.7199253963319237E-3</v>
      </c>
      <c r="I1034" s="105">
        <v>44389</v>
      </c>
      <c r="J1034" s="85">
        <v>47563.839999999997</v>
      </c>
      <c r="K1034" s="85">
        <v>47715.28</v>
      </c>
      <c r="L1034" s="85">
        <v>47407.85</v>
      </c>
      <c r="M1034" s="85">
        <v>47447.08</v>
      </c>
      <c r="N1034" s="123">
        <v>107164599</v>
      </c>
      <c r="O1034" s="112">
        <f t="shared" si="33"/>
        <v>-2.4466265588386493E-3</v>
      </c>
    </row>
    <row r="1035" spans="1:15">
      <c r="A1035" s="105">
        <v>44386</v>
      </c>
      <c r="B1035" s="85">
        <v>128.94999999999999</v>
      </c>
      <c r="C1035" s="85">
        <v>130.4</v>
      </c>
      <c r="D1035" s="85">
        <v>126.75</v>
      </c>
      <c r="E1035" s="85">
        <v>128.68</v>
      </c>
      <c r="F1035" s="85">
        <v>1872284</v>
      </c>
      <c r="G1035" s="112">
        <f t="shared" si="32"/>
        <v>3.1181789834737739E-3</v>
      </c>
      <c r="I1035" s="105">
        <v>44386</v>
      </c>
      <c r="J1035" s="85">
        <v>47960.62</v>
      </c>
      <c r="K1035" s="85">
        <v>48043.17</v>
      </c>
      <c r="L1035" s="85">
        <v>47544.08</v>
      </c>
      <c r="M1035" s="85">
        <v>47563.45</v>
      </c>
      <c r="N1035" s="123">
        <v>124661402</v>
      </c>
      <c r="O1035" s="112">
        <f t="shared" si="33"/>
        <v>-1.0191211110526122E-2</v>
      </c>
    </row>
    <row r="1036" spans="1:15">
      <c r="A1036" s="105">
        <v>44385</v>
      </c>
      <c r="B1036" s="85">
        <v>127.24</v>
      </c>
      <c r="C1036" s="85">
        <v>128.55000000000001</v>
      </c>
      <c r="D1036" s="85">
        <v>127.15</v>
      </c>
      <c r="E1036" s="85">
        <v>128.28</v>
      </c>
      <c r="F1036" s="85">
        <v>1223609</v>
      </c>
      <c r="G1036" s="112">
        <f t="shared" si="32"/>
        <v>1.047656557699872E-2</v>
      </c>
      <c r="I1036" s="105">
        <v>44385</v>
      </c>
      <c r="J1036" s="85">
        <v>47374.07</v>
      </c>
      <c r="K1036" s="85">
        <v>48053.17</v>
      </c>
      <c r="L1036" s="85">
        <v>47374.07</v>
      </c>
      <c r="M1036" s="85">
        <v>48053.17</v>
      </c>
      <c r="N1036" s="123">
        <v>187887582</v>
      </c>
      <c r="O1036" s="112">
        <f t="shared" si="33"/>
        <v>1.704307829847318E-2</v>
      </c>
    </row>
    <row r="1037" spans="1:15">
      <c r="A1037" s="105">
        <v>44384</v>
      </c>
      <c r="B1037" s="85">
        <v>125.95</v>
      </c>
      <c r="C1037" s="85">
        <v>127.8</v>
      </c>
      <c r="D1037" s="85">
        <v>125.7</v>
      </c>
      <c r="E1037" s="85">
        <v>126.95</v>
      </c>
      <c r="F1037" s="85">
        <v>1409206</v>
      </c>
      <c r="G1037" s="112">
        <f t="shared" si="32"/>
        <v>1.1553784860557803E-2</v>
      </c>
      <c r="I1037" s="105">
        <v>44384</v>
      </c>
      <c r="J1037" s="85">
        <v>47331.7</v>
      </c>
      <c r="K1037" s="85">
        <v>47375.67</v>
      </c>
      <c r="L1037" s="85">
        <v>47034.64</v>
      </c>
      <c r="M1037" s="85">
        <v>47247.92</v>
      </c>
      <c r="N1037" s="123">
        <v>158292162</v>
      </c>
      <c r="O1037" s="112">
        <f t="shared" si="33"/>
        <v>-2.0749306807564816E-3</v>
      </c>
    </row>
    <row r="1038" spans="1:15">
      <c r="A1038" s="105">
        <v>44383</v>
      </c>
      <c r="B1038" s="85">
        <v>123.9</v>
      </c>
      <c r="C1038" s="85">
        <v>125.9</v>
      </c>
      <c r="D1038" s="85">
        <v>122.51</v>
      </c>
      <c r="E1038" s="85">
        <v>125.5</v>
      </c>
      <c r="F1038" s="85">
        <v>2523758</v>
      </c>
      <c r="G1038" s="112">
        <f t="shared" si="32"/>
        <v>2.3570671233994034E-2</v>
      </c>
      <c r="I1038" s="105">
        <v>44383</v>
      </c>
      <c r="J1038" s="85">
        <v>47530.52</v>
      </c>
      <c r="K1038" s="85">
        <v>47665.41</v>
      </c>
      <c r="L1038" s="85">
        <v>47242.52</v>
      </c>
      <c r="M1038" s="85">
        <v>47346.16</v>
      </c>
      <c r="N1038" s="123">
        <v>213106406</v>
      </c>
      <c r="O1038" s="112">
        <f t="shared" si="33"/>
        <v>-1.7491363955308703E-3</v>
      </c>
    </row>
    <row r="1039" spans="1:15">
      <c r="A1039" s="105">
        <v>44382</v>
      </c>
      <c r="B1039" s="85">
        <v>123.15</v>
      </c>
      <c r="C1039" s="85">
        <v>124.45</v>
      </c>
      <c r="D1039" s="85">
        <v>122.5</v>
      </c>
      <c r="E1039" s="85">
        <v>122.61</v>
      </c>
      <c r="F1039" s="85">
        <v>413241</v>
      </c>
      <c r="G1039" s="112">
        <f t="shared" si="32"/>
        <v>-7.7688759407622543E-3</v>
      </c>
      <c r="I1039" s="105">
        <v>44382</v>
      </c>
      <c r="J1039" s="85">
        <v>47716.28</v>
      </c>
      <c r="K1039" s="85">
        <v>47742.23</v>
      </c>
      <c r="L1039" s="85">
        <v>47375.13</v>
      </c>
      <c r="M1039" s="85">
        <v>47429.120000000003</v>
      </c>
      <c r="N1039" s="123">
        <v>201863020</v>
      </c>
      <c r="O1039" s="112">
        <f t="shared" si="33"/>
        <v>-5.3906603548449228E-3</v>
      </c>
    </row>
    <row r="1040" spans="1:15">
      <c r="A1040" s="105">
        <v>44379</v>
      </c>
      <c r="B1040" s="85">
        <v>123.86</v>
      </c>
      <c r="C1040" s="85">
        <v>124.88</v>
      </c>
      <c r="D1040" s="85">
        <v>123</v>
      </c>
      <c r="E1040" s="85">
        <v>123.57</v>
      </c>
      <c r="F1040" s="85">
        <v>822320</v>
      </c>
      <c r="G1040" s="112">
        <f t="shared" si="32"/>
        <v>8.9097683460237498E-4</v>
      </c>
      <c r="I1040" s="105">
        <v>44379</v>
      </c>
      <c r="J1040" s="85">
        <v>47876.2</v>
      </c>
      <c r="K1040" s="85">
        <v>48079.85</v>
      </c>
      <c r="L1040" s="85">
        <v>47637.760000000002</v>
      </c>
      <c r="M1040" s="85">
        <v>47686.18</v>
      </c>
      <c r="N1040" s="123">
        <v>170918051</v>
      </c>
      <c r="O1040" s="112">
        <f t="shared" si="33"/>
        <v>-2.3930676977282905E-3</v>
      </c>
    </row>
    <row r="1041" spans="1:15">
      <c r="A1041" s="105">
        <v>44378</v>
      </c>
      <c r="B1041" s="85">
        <v>122.9</v>
      </c>
      <c r="C1041" s="85">
        <v>124.75</v>
      </c>
      <c r="D1041" s="85">
        <v>122.56</v>
      </c>
      <c r="E1041" s="85">
        <v>123.46</v>
      </c>
      <c r="F1041" s="85">
        <v>1048077</v>
      </c>
      <c r="G1041" s="112">
        <f t="shared" si="32"/>
        <v>8.9074119473726565E-3</v>
      </c>
      <c r="I1041" s="105">
        <v>44378</v>
      </c>
      <c r="J1041" s="85">
        <v>47568.98</v>
      </c>
      <c r="K1041" s="85">
        <v>47843.46</v>
      </c>
      <c r="L1041" s="85">
        <v>47547.4</v>
      </c>
      <c r="M1041" s="85">
        <v>47800.57</v>
      </c>
      <c r="N1041" s="123">
        <v>139993682</v>
      </c>
      <c r="O1041" s="112">
        <f t="shared" si="33"/>
        <v>9.3874020663053948E-3</v>
      </c>
    </row>
    <row r="1042" spans="1:15">
      <c r="A1042" s="105">
        <v>44377</v>
      </c>
      <c r="B1042" s="85">
        <v>124.94</v>
      </c>
      <c r="C1042" s="85">
        <v>124.95</v>
      </c>
      <c r="D1042" s="85">
        <v>122.05</v>
      </c>
      <c r="E1042" s="85">
        <v>122.37</v>
      </c>
      <c r="F1042" s="85">
        <v>4257352</v>
      </c>
      <c r="G1042" s="112">
        <f t="shared" si="32"/>
        <v>-2.2681894417378667E-2</v>
      </c>
      <c r="I1042" s="105">
        <v>44377</v>
      </c>
      <c r="J1042" s="85">
        <v>47230.239999999998</v>
      </c>
      <c r="K1042" s="85">
        <v>47460.31</v>
      </c>
      <c r="L1042" s="85">
        <v>47171.69</v>
      </c>
      <c r="M1042" s="85">
        <v>47356.02</v>
      </c>
      <c r="N1042" s="123">
        <v>152999118</v>
      </c>
      <c r="O1042" s="112">
        <f t="shared" si="33"/>
        <v>4.630045078500844E-3</v>
      </c>
    </row>
    <row r="1043" spans="1:15">
      <c r="A1043" s="105">
        <v>44376</v>
      </c>
      <c r="B1043" s="85">
        <v>124.23</v>
      </c>
      <c r="C1043" s="85">
        <v>126.9</v>
      </c>
      <c r="D1043" s="85">
        <v>123.46</v>
      </c>
      <c r="E1043" s="85">
        <v>125.21</v>
      </c>
      <c r="F1043" s="85">
        <v>1156820</v>
      </c>
      <c r="G1043" s="112">
        <f t="shared" si="32"/>
        <v>1.4174631459582088E-2</v>
      </c>
      <c r="I1043" s="105">
        <v>44376</v>
      </c>
      <c r="J1043" s="85">
        <v>46986.47</v>
      </c>
      <c r="K1043" s="85">
        <v>47508.82</v>
      </c>
      <c r="L1043" s="85">
        <v>47058.44</v>
      </c>
      <c r="M1043" s="85">
        <v>47137.77</v>
      </c>
      <c r="N1043" s="123">
        <v>205459425</v>
      </c>
      <c r="O1043" s="112">
        <f t="shared" si="33"/>
        <v>2.8811325391175924E-3</v>
      </c>
    </row>
    <row r="1044" spans="1:15">
      <c r="A1044" s="105">
        <v>44375</v>
      </c>
      <c r="B1044" s="85">
        <v>127.25</v>
      </c>
      <c r="C1044" s="85">
        <v>128</v>
      </c>
      <c r="D1044" s="85">
        <v>123</v>
      </c>
      <c r="E1044" s="85">
        <v>123.46</v>
      </c>
      <c r="F1044" s="85">
        <v>1300352</v>
      </c>
      <c r="G1044" s="112">
        <f t="shared" si="32"/>
        <v>-3.1534358330718604E-2</v>
      </c>
      <c r="I1044" s="105">
        <v>44375</v>
      </c>
      <c r="J1044" s="85">
        <v>47602.09</v>
      </c>
      <c r="K1044" s="85">
        <v>47665.84</v>
      </c>
      <c r="L1044" s="85">
        <v>46900.26</v>
      </c>
      <c r="M1044" s="85">
        <v>47002.35</v>
      </c>
      <c r="N1044" s="123">
        <v>223946845</v>
      </c>
      <c r="O1044" s="112">
        <f t="shared" si="33"/>
        <v>-1.2625369301662803E-2</v>
      </c>
    </row>
    <row r="1045" spans="1:15">
      <c r="A1045" s="105">
        <v>44372</v>
      </c>
      <c r="B1045" s="85">
        <v>130.94999999999999</v>
      </c>
      <c r="C1045" s="85">
        <v>130.94999999999999</v>
      </c>
      <c r="D1045" s="85">
        <v>126.26</v>
      </c>
      <c r="E1045" s="85">
        <v>127.48</v>
      </c>
      <c r="F1045" s="85">
        <v>1753036</v>
      </c>
      <c r="G1045" s="112">
        <f t="shared" si="32"/>
        <v>-2.2317662397422944E-2</v>
      </c>
      <c r="I1045" s="105">
        <v>44372</v>
      </c>
      <c r="J1045" s="85">
        <v>47977.47</v>
      </c>
      <c r="K1045" s="85">
        <v>48040.1</v>
      </c>
      <c r="L1045" s="85">
        <v>47475.81</v>
      </c>
      <c r="M1045" s="85">
        <v>47603.360000000001</v>
      </c>
      <c r="N1045" s="123">
        <v>262501097</v>
      </c>
      <c r="O1045" s="112">
        <f t="shared" si="33"/>
        <v>-7.4887610205798261E-3</v>
      </c>
    </row>
    <row r="1046" spans="1:15">
      <c r="A1046" s="105">
        <v>44371</v>
      </c>
      <c r="B1046" s="85">
        <v>130</v>
      </c>
      <c r="C1046" s="85">
        <v>131.69999999999999</v>
      </c>
      <c r="D1046" s="85">
        <v>129.05000000000001</v>
      </c>
      <c r="E1046" s="85">
        <v>130.38999999999999</v>
      </c>
      <c r="F1046" s="85">
        <v>637245</v>
      </c>
      <c r="G1046" s="112">
        <f t="shared" si="32"/>
        <v>4.1586445899113311E-3</v>
      </c>
      <c r="I1046" s="105">
        <v>44371</v>
      </c>
      <c r="J1046" s="85">
        <v>47956.57</v>
      </c>
      <c r="K1046" s="85">
        <v>48118.23</v>
      </c>
      <c r="L1046" s="85">
        <v>47897.39</v>
      </c>
      <c r="M1046" s="85">
        <v>47962.54</v>
      </c>
      <c r="N1046" s="123">
        <v>150163934</v>
      </c>
      <c r="O1046" s="112">
        <f t="shared" si="33"/>
        <v>1.2910040980613768E-3</v>
      </c>
    </row>
    <row r="1047" spans="1:15">
      <c r="A1047" s="105">
        <v>44370</v>
      </c>
      <c r="B1047" s="85">
        <v>130.6</v>
      </c>
      <c r="C1047" s="85">
        <v>131</v>
      </c>
      <c r="D1047" s="85">
        <v>128.65</v>
      </c>
      <c r="E1047" s="85">
        <v>129.85</v>
      </c>
      <c r="F1047" s="85">
        <v>435491</v>
      </c>
      <c r="G1047" s="112">
        <f t="shared" si="32"/>
        <v>-5.5904426405269936E-3</v>
      </c>
      <c r="I1047" s="105">
        <v>44370</v>
      </c>
      <c r="J1047" s="85">
        <v>48053.75</v>
      </c>
      <c r="K1047" s="85">
        <v>48134.95</v>
      </c>
      <c r="L1047" s="85">
        <v>47865.11</v>
      </c>
      <c r="M1047" s="85">
        <v>47900.7</v>
      </c>
      <c r="N1047" s="123">
        <v>237206903</v>
      </c>
      <c r="O1047" s="112">
        <f t="shared" si="33"/>
        <v>-1.8013159358944986E-3</v>
      </c>
    </row>
    <row r="1048" spans="1:15">
      <c r="A1048" s="105">
        <v>44369</v>
      </c>
      <c r="B1048" s="85">
        <v>130.5</v>
      </c>
      <c r="C1048" s="85">
        <v>132</v>
      </c>
      <c r="D1048" s="85">
        <v>129.01</v>
      </c>
      <c r="E1048" s="85">
        <v>130.58000000000001</v>
      </c>
      <c r="F1048" s="85">
        <v>299893</v>
      </c>
      <c r="G1048" s="112">
        <f t="shared" si="32"/>
        <v>1.5339776039271502E-3</v>
      </c>
      <c r="I1048" s="105">
        <v>44369</v>
      </c>
      <c r="J1048" s="85">
        <v>48035.46</v>
      </c>
      <c r="K1048" s="85">
        <v>48154.8</v>
      </c>
      <c r="L1048" s="85">
        <v>47931.78</v>
      </c>
      <c r="M1048" s="85">
        <v>47987.14</v>
      </c>
      <c r="N1048" s="123">
        <v>209250013</v>
      </c>
      <c r="O1048" s="112">
        <f t="shared" si="33"/>
        <v>-5.2861212033861182E-4</v>
      </c>
    </row>
    <row r="1049" spans="1:15">
      <c r="A1049" s="105">
        <v>44368</v>
      </c>
      <c r="B1049" s="85">
        <v>130.94999999999999</v>
      </c>
      <c r="C1049" s="85">
        <v>131.94</v>
      </c>
      <c r="D1049" s="85">
        <v>128.9</v>
      </c>
      <c r="E1049" s="85">
        <v>130.38</v>
      </c>
      <c r="F1049" s="85">
        <v>451442</v>
      </c>
      <c r="G1049" s="112">
        <f t="shared" si="32"/>
        <v>2.6916865338768581E-3</v>
      </c>
      <c r="I1049" s="105">
        <v>44368</v>
      </c>
      <c r="J1049" s="85">
        <v>48325.8</v>
      </c>
      <c r="K1049" s="85">
        <v>48372.01</v>
      </c>
      <c r="L1049" s="85">
        <v>47963.97</v>
      </c>
      <c r="M1049" s="85">
        <v>48012.52</v>
      </c>
      <c r="N1049" s="123">
        <v>227403647</v>
      </c>
      <c r="O1049" s="112">
        <f t="shared" si="33"/>
        <v>-4.688147496603845E-3</v>
      </c>
    </row>
    <row r="1050" spans="1:15">
      <c r="A1050" s="105">
        <v>44365</v>
      </c>
      <c r="B1050" s="85">
        <v>133.05000000000001</v>
      </c>
      <c r="C1050" s="85">
        <v>133.77000000000001</v>
      </c>
      <c r="D1050" s="85">
        <v>129</v>
      </c>
      <c r="E1050" s="85">
        <v>130.03</v>
      </c>
      <c r="F1050" s="85">
        <v>2267721</v>
      </c>
      <c r="G1050" s="112">
        <f t="shared" si="32"/>
        <v>-2.7231241116181581E-2</v>
      </c>
      <c r="I1050" s="105">
        <v>44365</v>
      </c>
      <c r="J1050" s="85">
        <v>48153.919999999998</v>
      </c>
      <c r="K1050" s="85">
        <v>48411.87</v>
      </c>
      <c r="L1050" s="85">
        <v>48022.720000000001</v>
      </c>
      <c r="M1050" s="85">
        <v>48238.67</v>
      </c>
      <c r="N1050" s="123">
        <v>304366997</v>
      </c>
      <c r="O1050" s="112">
        <f t="shared" si="33"/>
        <v>1.6828070650487525E-3</v>
      </c>
    </row>
    <row r="1051" spans="1:15">
      <c r="A1051" s="105">
        <v>44364</v>
      </c>
      <c r="B1051" s="85">
        <v>135.5</v>
      </c>
      <c r="C1051" s="85">
        <v>135.69</v>
      </c>
      <c r="D1051" s="85">
        <v>133.5</v>
      </c>
      <c r="E1051" s="85">
        <v>133.66999999999999</v>
      </c>
      <c r="F1051" s="85">
        <v>169731</v>
      </c>
      <c r="G1051" s="112">
        <f t="shared" si="32"/>
        <v>-1.1316568047337272E-2</v>
      </c>
      <c r="I1051" s="105">
        <v>44364</v>
      </c>
      <c r="J1051" s="85">
        <v>48454.96</v>
      </c>
      <c r="K1051" s="85">
        <v>48544.65</v>
      </c>
      <c r="L1051" s="85">
        <v>48115.839999999997</v>
      </c>
      <c r="M1051" s="85">
        <v>48157.63</v>
      </c>
      <c r="N1051" s="123">
        <v>290742124</v>
      </c>
      <c r="O1051" s="112">
        <f t="shared" si="33"/>
        <v>-6.6679867741730181E-3</v>
      </c>
    </row>
    <row r="1052" spans="1:15">
      <c r="A1052" s="105">
        <v>44363</v>
      </c>
      <c r="B1052" s="85">
        <v>135.57</v>
      </c>
      <c r="C1052" s="85">
        <v>135.69999999999999</v>
      </c>
      <c r="D1052" s="85">
        <v>134.6</v>
      </c>
      <c r="E1052" s="85">
        <v>135.19999999999999</v>
      </c>
      <c r="F1052" s="85">
        <v>1257607</v>
      </c>
      <c r="G1052" s="112">
        <f t="shared" si="32"/>
        <v>3.1906210580987526E-3</v>
      </c>
      <c r="I1052" s="105">
        <v>44363</v>
      </c>
      <c r="J1052" s="85">
        <v>48792.27</v>
      </c>
      <c r="K1052" s="85">
        <v>48878.2</v>
      </c>
      <c r="L1052" s="85">
        <v>48426.67</v>
      </c>
      <c r="M1052" s="85">
        <v>48480.9</v>
      </c>
      <c r="N1052" s="123">
        <v>409175859</v>
      </c>
      <c r="O1052" s="112">
        <f t="shared" si="33"/>
        <v>-3.1184868738145521E-3</v>
      </c>
    </row>
    <row r="1053" spans="1:15">
      <c r="A1053" s="105">
        <v>44362</v>
      </c>
      <c r="B1053" s="85">
        <v>135.85</v>
      </c>
      <c r="C1053" s="85">
        <v>135.85</v>
      </c>
      <c r="D1053" s="85">
        <v>134</v>
      </c>
      <c r="E1053" s="85">
        <v>134.77000000000001</v>
      </c>
      <c r="F1053" s="85">
        <v>479868</v>
      </c>
      <c r="G1053" s="112">
        <f t="shared" si="32"/>
        <v>-2.2210705560078425E-3</v>
      </c>
      <c r="I1053" s="105">
        <v>44362</v>
      </c>
      <c r="J1053" s="85">
        <v>48773.55</v>
      </c>
      <c r="K1053" s="85">
        <v>48841.65</v>
      </c>
      <c r="L1053" s="85">
        <v>48510.71</v>
      </c>
      <c r="M1053" s="85">
        <v>48632.56</v>
      </c>
      <c r="N1053" s="123">
        <v>699381522</v>
      </c>
      <c r="O1053" s="112">
        <f t="shared" si="33"/>
        <v>-1.9193007112413563E-3</v>
      </c>
    </row>
    <row r="1054" spans="1:15">
      <c r="A1054" s="105">
        <v>44361</v>
      </c>
      <c r="B1054" s="85">
        <v>136.5</v>
      </c>
      <c r="C1054" s="85">
        <v>136.5</v>
      </c>
      <c r="D1054" s="85">
        <v>134.51</v>
      </c>
      <c r="E1054" s="85">
        <v>135.07</v>
      </c>
      <c r="F1054" s="85">
        <v>820637</v>
      </c>
      <c r="G1054" s="112">
        <f t="shared" si="32"/>
        <v>-2.2205773501116077E-4</v>
      </c>
      <c r="I1054" s="105">
        <v>44361</v>
      </c>
      <c r="J1054" s="85">
        <v>48515.66</v>
      </c>
      <c r="K1054" s="85">
        <v>48986.94</v>
      </c>
      <c r="L1054" s="85">
        <v>48515.66</v>
      </c>
      <c r="M1054" s="85">
        <v>48726.080000000002</v>
      </c>
      <c r="N1054" s="123">
        <v>507488762</v>
      </c>
      <c r="O1054" s="112">
        <f t="shared" si="33"/>
        <v>8.7229570940479118E-3</v>
      </c>
    </row>
    <row r="1055" spans="1:15">
      <c r="A1055" s="105">
        <v>44358</v>
      </c>
      <c r="B1055" s="85">
        <v>135.05000000000001</v>
      </c>
      <c r="C1055" s="85">
        <v>136.5</v>
      </c>
      <c r="D1055" s="85">
        <v>134.25</v>
      </c>
      <c r="E1055" s="85">
        <v>135.1</v>
      </c>
      <c r="F1055" s="85">
        <v>1223602</v>
      </c>
      <c r="G1055" s="112">
        <f t="shared" si="32"/>
        <v>4.3862909820830964E-3</v>
      </c>
      <c r="I1055" s="105">
        <v>44358</v>
      </c>
      <c r="J1055" s="85">
        <v>48384.03</v>
      </c>
      <c r="K1055" s="85">
        <v>48531.61</v>
      </c>
      <c r="L1055" s="85">
        <v>48243.15</v>
      </c>
      <c r="M1055" s="85">
        <v>48304.72</v>
      </c>
      <c r="N1055" s="123">
        <v>373933118</v>
      </c>
      <c r="O1055" s="112">
        <f t="shared" si="33"/>
        <v>1.1031783681707541E-3</v>
      </c>
    </row>
    <row r="1056" spans="1:15">
      <c r="A1056" s="105">
        <v>44357</v>
      </c>
      <c r="B1056" s="85">
        <v>133.44999999999999</v>
      </c>
      <c r="C1056" s="85">
        <v>135.75</v>
      </c>
      <c r="D1056" s="85">
        <v>132.06</v>
      </c>
      <c r="E1056" s="85">
        <v>134.51</v>
      </c>
      <c r="F1056" s="85">
        <v>1506851</v>
      </c>
      <c r="G1056" s="112">
        <f t="shared" si="32"/>
        <v>1.4174771921887874E-2</v>
      </c>
      <c r="I1056" s="105">
        <v>44357</v>
      </c>
      <c r="J1056" s="85">
        <v>47825.29</v>
      </c>
      <c r="K1056" s="85">
        <v>48288.29</v>
      </c>
      <c r="L1056" s="85">
        <v>47825.29</v>
      </c>
      <c r="M1056" s="85">
        <v>48251.49</v>
      </c>
      <c r="N1056" s="123">
        <v>296571812</v>
      </c>
      <c r="O1056" s="112">
        <f t="shared" si="33"/>
        <v>9.9182420555898876E-3</v>
      </c>
    </row>
    <row r="1057" spans="1:15">
      <c r="A1057" s="105">
        <v>44356</v>
      </c>
      <c r="B1057" s="85">
        <v>134.44</v>
      </c>
      <c r="C1057" s="85">
        <v>134.44</v>
      </c>
      <c r="D1057" s="85">
        <v>132.01</v>
      </c>
      <c r="E1057" s="85">
        <v>132.63</v>
      </c>
      <c r="F1057" s="85">
        <v>409842</v>
      </c>
      <c r="G1057" s="112">
        <f t="shared" si="32"/>
        <v>-1.0002239307307592E-2</v>
      </c>
      <c r="I1057" s="105">
        <v>44356</v>
      </c>
      <c r="J1057" s="85">
        <v>48232.99</v>
      </c>
      <c r="K1057" s="85">
        <v>48313.35</v>
      </c>
      <c r="L1057" s="85">
        <v>47725.94</v>
      </c>
      <c r="M1057" s="85">
        <v>47777.62</v>
      </c>
      <c r="N1057" s="123">
        <v>296727403</v>
      </c>
      <c r="O1057" s="112">
        <f t="shared" si="33"/>
        <v>-7.69211917093926E-3</v>
      </c>
    </row>
    <row r="1058" spans="1:15">
      <c r="A1058" s="105">
        <v>44355</v>
      </c>
      <c r="B1058" s="85">
        <v>133.94999999999999</v>
      </c>
      <c r="C1058" s="85">
        <v>134.5</v>
      </c>
      <c r="D1058" s="85">
        <v>133.07</v>
      </c>
      <c r="E1058" s="85">
        <v>133.97</v>
      </c>
      <c r="F1058" s="85">
        <v>357452</v>
      </c>
      <c r="G1058" s="112">
        <f t="shared" si="32"/>
        <v>6.0073590147931011E-3</v>
      </c>
      <c r="I1058" s="105">
        <v>44355</v>
      </c>
      <c r="J1058" s="85">
        <v>48340.93</v>
      </c>
      <c r="K1058" s="85">
        <v>48409.88</v>
      </c>
      <c r="L1058" s="85">
        <v>48000.17</v>
      </c>
      <c r="M1058" s="85">
        <v>48147.98</v>
      </c>
      <c r="N1058" s="123">
        <v>265113800</v>
      </c>
      <c r="O1058" s="112">
        <f t="shared" si="33"/>
        <v>-3.2023081130521103E-3</v>
      </c>
    </row>
    <row r="1059" spans="1:15">
      <c r="A1059" s="105">
        <v>44354</v>
      </c>
      <c r="B1059" s="85">
        <v>134</v>
      </c>
      <c r="C1059" s="85">
        <v>135.5</v>
      </c>
      <c r="D1059" s="85">
        <v>132.16999999999999</v>
      </c>
      <c r="E1059" s="85">
        <v>133.16999999999999</v>
      </c>
      <c r="F1059" s="85">
        <v>568821</v>
      </c>
      <c r="G1059" s="112">
        <f t="shared" si="32"/>
        <v>-3.8150807899463013E-3</v>
      </c>
      <c r="I1059" s="105">
        <v>44354</v>
      </c>
      <c r="J1059" s="85">
        <v>48241.79</v>
      </c>
      <c r="K1059" s="85">
        <v>48636.29</v>
      </c>
      <c r="L1059" s="85">
        <v>48211.14</v>
      </c>
      <c r="M1059" s="85">
        <v>48302.66</v>
      </c>
      <c r="N1059" s="123">
        <v>320037887</v>
      </c>
      <c r="O1059" s="112">
        <f t="shared" si="33"/>
        <v>1.8866789596716504E-3</v>
      </c>
    </row>
    <row r="1060" spans="1:15">
      <c r="A1060" s="105">
        <v>44351</v>
      </c>
      <c r="B1060" s="85">
        <v>134.02000000000001</v>
      </c>
      <c r="C1060" s="85">
        <v>135.93</v>
      </c>
      <c r="D1060" s="85">
        <v>132.80000000000001</v>
      </c>
      <c r="E1060" s="85">
        <v>133.68</v>
      </c>
      <c r="F1060" s="85">
        <v>486834</v>
      </c>
      <c r="G1060" s="112">
        <f t="shared" si="32"/>
        <v>-2.7601641178665037E-3</v>
      </c>
      <c r="I1060" s="105">
        <v>44351</v>
      </c>
      <c r="J1060" s="85">
        <v>48172.99</v>
      </c>
      <c r="K1060" s="85">
        <v>48426.63</v>
      </c>
      <c r="L1060" s="85">
        <v>48106.98</v>
      </c>
      <c r="M1060" s="85">
        <v>48211.7</v>
      </c>
      <c r="N1060" s="123">
        <v>317434552</v>
      </c>
      <c r="O1060" s="112">
        <f t="shared" si="33"/>
        <v>2.4570872630891305E-3</v>
      </c>
    </row>
    <row r="1061" spans="1:15">
      <c r="A1061" s="105">
        <v>44350</v>
      </c>
      <c r="B1061" s="85">
        <v>135.83000000000001</v>
      </c>
      <c r="C1061" s="85">
        <v>136</v>
      </c>
      <c r="D1061" s="85">
        <v>132.57</v>
      </c>
      <c r="E1061" s="85">
        <v>134.05000000000001</v>
      </c>
      <c r="F1061" s="85">
        <v>1156765</v>
      </c>
      <c r="G1061" s="112">
        <f t="shared" si="32"/>
        <v>-4.8994135550441964E-3</v>
      </c>
      <c r="I1061" s="105">
        <v>44350</v>
      </c>
      <c r="J1061" s="85">
        <v>48270.64</v>
      </c>
      <c r="K1061" s="85">
        <v>48434.400000000001</v>
      </c>
      <c r="L1061" s="85">
        <v>48010.32</v>
      </c>
      <c r="M1061" s="85">
        <v>48093.53</v>
      </c>
      <c r="N1061" s="123">
        <v>253507625</v>
      </c>
      <c r="O1061" s="112">
        <f t="shared" si="33"/>
        <v>-6.9337522258872131E-4</v>
      </c>
    </row>
    <row r="1062" spans="1:15">
      <c r="A1062" s="105">
        <v>44349</v>
      </c>
      <c r="B1062" s="85">
        <v>137</v>
      </c>
      <c r="C1062" s="85">
        <v>137</v>
      </c>
      <c r="D1062" s="85">
        <v>134.05000000000001</v>
      </c>
      <c r="E1062" s="85">
        <v>134.71</v>
      </c>
      <c r="F1062" s="85">
        <v>1366996</v>
      </c>
      <c r="G1062" s="112">
        <f t="shared" si="32"/>
        <v>-1.4989763088622321E-2</v>
      </c>
      <c r="I1062" s="105">
        <v>44349</v>
      </c>
      <c r="J1062" s="85">
        <v>48286.31</v>
      </c>
      <c r="K1062" s="85">
        <v>48286.46</v>
      </c>
      <c r="L1062" s="85">
        <v>47957.91</v>
      </c>
      <c r="M1062" s="85">
        <v>48126.9</v>
      </c>
      <c r="N1062" s="123">
        <v>361191723</v>
      </c>
      <c r="O1062" s="112">
        <f t="shared" si="33"/>
        <v>-1.3355118749748263E-3</v>
      </c>
    </row>
    <row r="1063" spans="1:15">
      <c r="A1063" s="105">
        <v>44348</v>
      </c>
      <c r="B1063" s="85">
        <v>135.96</v>
      </c>
      <c r="C1063" s="85">
        <v>137.75</v>
      </c>
      <c r="D1063" s="85">
        <v>135.5</v>
      </c>
      <c r="E1063" s="85">
        <v>136.76</v>
      </c>
      <c r="F1063" s="85">
        <v>1557538</v>
      </c>
      <c r="G1063" s="112">
        <f t="shared" si="32"/>
        <v>6.1801059446733309E-3</v>
      </c>
      <c r="I1063" s="105">
        <v>44348</v>
      </c>
      <c r="J1063" s="85">
        <v>48067.32</v>
      </c>
      <c r="K1063" s="85">
        <v>48241.55</v>
      </c>
      <c r="L1063" s="85">
        <v>47914.53</v>
      </c>
      <c r="M1063" s="85">
        <v>48191.26</v>
      </c>
      <c r="N1063" s="123">
        <v>456371011</v>
      </c>
      <c r="O1063" s="112">
        <f t="shared" si="33"/>
        <v>6.1574642237800514E-3</v>
      </c>
    </row>
    <row r="1064" spans="1:15">
      <c r="A1064" s="105">
        <v>44347</v>
      </c>
      <c r="B1064" s="85">
        <v>134.94999999999999</v>
      </c>
      <c r="C1064" s="85">
        <v>137.44999999999999</v>
      </c>
      <c r="D1064" s="85">
        <v>134.94999999999999</v>
      </c>
      <c r="E1064" s="85">
        <v>135.91999999999999</v>
      </c>
      <c r="F1064" s="85">
        <v>2293654</v>
      </c>
      <c r="G1064" s="112">
        <f t="shared" si="32"/>
        <v>1.3798761840829288E-2</v>
      </c>
      <c r="I1064" s="105">
        <v>44347</v>
      </c>
      <c r="J1064" s="85">
        <v>47395.39</v>
      </c>
      <c r="K1064" s="85">
        <v>47979.86</v>
      </c>
      <c r="L1064" s="85">
        <v>47395.39</v>
      </c>
      <c r="M1064" s="85">
        <v>47896.34</v>
      </c>
      <c r="N1064" s="123">
        <v>409980135</v>
      </c>
      <c r="O1064" s="112">
        <f t="shared" si="33"/>
        <v>1.6340136259400007E-2</v>
      </c>
    </row>
    <row r="1065" spans="1:15">
      <c r="A1065" s="105">
        <v>44344</v>
      </c>
      <c r="B1065" s="85">
        <v>131.01</v>
      </c>
      <c r="C1065" s="85">
        <v>135.19</v>
      </c>
      <c r="D1065" s="85">
        <v>131.01</v>
      </c>
      <c r="E1065" s="85">
        <v>134.07</v>
      </c>
      <c r="F1065" s="85">
        <v>4761834</v>
      </c>
      <c r="G1065" s="112">
        <f t="shared" si="32"/>
        <v>1.7300250398361028E-2</v>
      </c>
      <c r="I1065" s="105">
        <v>44344</v>
      </c>
      <c r="J1065" s="85">
        <v>46827.519999999997</v>
      </c>
      <c r="K1065" s="85">
        <v>47248.28</v>
      </c>
      <c r="L1065" s="85">
        <v>46698.23</v>
      </c>
      <c r="M1065" s="85">
        <v>47126.29</v>
      </c>
      <c r="N1065" s="123">
        <v>223696244</v>
      </c>
      <c r="O1065" s="112">
        <f t="shared" si="33"/>
        <v>7.1710754796621146E-3</v>
      </c>
    </row>
    <row r="1066" spans="1:15">
      <c r="A1066" s="105">
        <v>44343</v>
      </c>
      <c r="B1066" s="85">
        <v>132</v>
      </c>
      <c r="C1066" s="85">
        <v>134.25</v>
      </c>
      <c r="D1066" s="85">
        <v>130</v>
      </c>
      <c r="E1066" s="85">
        <v>131.79</v>
      </c>
      <c r="F1066" s="85">
        <v>3910072</v>
      </c>
      <c r="G1066" s="112">
        <f t="shared" si="32"/>
        <v>1.0427048991796362E-2</v>
      </c>
      <c r="I1066" s="105">
        <v>44343</v>
      </c>
      <c r="J1066" s="85">
        <v>46987.199999999997</v>
      </c>
      <c r="K1066" s="85">
        <v>47206.15</v>
      </c>
      <c r="L1066" s="85">
        <v>46675.69</v>
      </c>
      <c r="M1066" s="85">
        <v>46790.75</v>
      </c>
      <c r="N1066" s="123">
        <v>512472483</v>
      </c>
      <c r="O1066" s="112">
        <f t="shared" si="33"/>
        <v>-4.6056261696969525E-4</v>
      </c>
    </row>
    <row r="1067" spans="1:15">
      <c r="A1067" s="105">
        <v>44342</v>
      </c>
      <c r="B1067" s="85">
        <v>128.99</v>
      </c>
      <c r="C1067" s="85">
        <v>131</v>
      </c>
      <c r="D1067" s="85">
        <v>128.01</v>
      </c>
      <c r="E1067" s="85">
        <v>130.43</v>
      </c>
      <c r="F1067" s="85">
        <v>2983057</v>
      </c>
      <c r="G1067" s="112">
        <f t="shared" si="32"/>
        <v>1.1791172135598549E-2</v>
      </c>
      <c r="I1067" s="105">
        <v>44342</v>
      </c>
      <c r="J1067" s="85">
        <v>46437.52</v>
      </c>
      <c r="K1067" s="85">
        <v>46856.27</v>
      </c>
      <c r="L1067" s="85">
        <v>46424.43</v>
      </c>
      <c r="M1067" s="85">
        <v>46812.31</v>
      </c>
      <c r="N1067" s="123">
        <v>306272522</v>
      </c>
      <c r="O1067" s="112">
        <f t="shared" si="33"/>
        <v>1.105059841479572E-2</v>
      </c>
    </row>
    <row r="1068" spans="1:15">
      <c r="A1068" s="105">
        <v>44341</v>
      </c>
      <c r="B1068" s="85">
        <v>125.47</v>
      </c>
      <c r="C1068" s="85">
        <v>129.5</v>
      </c>
      <c r="D1068" s="85">
        <v>124</v>
      </c>
      <c r="E1068" s="85">
        <v>128.91</v>
      </c>
      <c r="F1068" s="85">
        <v>3880680</v>
      </c>
      <c r="G1068" s="112">
        <f t="shared" si="32"/>
        <v>3.1857840390618675E-2</v>
      </c>
      <c r="I1068" s="105">
        <v>44341</v>
      </c>
      <c r="J1068" s="85">
        <v>46148.35</v>
      </c>
      <c r="K1068" s="85">
        <v>46371.69</v>
      </c>
      <c r="L1068" s="85">
        <v>46047.66</v>
      </c>
      <c r="M1068" s="85">
        <v>46300.66</v>
      </c>
      <c r="N1068" s="123">
        <v>224827398</v>
      </c>
      <c r="O1068" s="112">
        <f t="shared" si="33"/>
        <v>4.4156781195177075E-3</v>
      </c>
    </row>
    <row r="1069" spans="1:15">
      <c r="A1069" s="105">
        <v>44340</v>
      </c>
      <c r="B1069" s="85">
        <v>124.5</v>
      </c>
      <c r="C1069" s="85">
        <v>126</v>
      </c>
      <c r="D1069" s="85">
        <v>124</v>
      </c>
      <c r="E1069" s="85">
        <v>124.93</v>
      </c>
      <c r="F1069" s="85">
        <v>881822</v>
      </c>
      <c r="G1069" s="112">
        <f t="shared" si="32"/>
        <v>8.3945435466947771E-3</v>
      </c>
      <c r="I1069" s="105">
        <v>44340</v>
      </c>
      <c r="J1069" s="85">
        <v>46133.93</v>
      </c>
      <c r="K1069" s="85">
        <v>46314.83</v>
      </c>
      <c r="L1069" s="85">
        <v>45914.98</v>
      </c>
      <c r="M1069" s="85">
        <v>46097.11</v>
      </c>
      <c r="N1069" s="123">
        <v>191697769</v>
      </c>
      <c r="O1069" s="112">
        <f t="shared" si="33"/>
        <v>3.9666792841899223E-3</v>
      </c>
    </row>
    <row r="1070" spans="1:15">
      <c r="A1070" s="105">
        <v>44337</v>
      </c>
      <c r="B1070" s="85">
        <v>122.95</v>
      </c>
      <c r="C1070" s="85">
        <v>125.3</v>
      </c>
      <c r="D1070" s="85">
        <v>122.05</v>
      </c>
      <c r="E1070" s="85">
        <v>123.89</v>
      </c>
      <c r="F1070" s="85">
        <v>1473126</v>
      </c>
      <c r="G1070" s="112">
        <f t="shared" si="32"/>
        <v>1.5158964274008424E-2</v>
      </c>
      <c r="I1070" s="105">
        <v>44337</v>
      </c>
      <c r="J1070" s="85">
        <v>45646.25</v>
      </c>
      <c r="K1070" s="85">
        <v>45948.15</v>
      </c>
      <c r="L1070" s="85">
        <v>45560.13</v>
      </c>
      <c r="M1070" s="85">
        <v>45914.98</v>
      </c>
      <c r="N1070" s="123">
        <v>294853032</v>
      </c>
      <c r="O1070" s="112">
        <f t="shared" si="33"/>
        <v>7.4803501201452516E-3</v>
      </c>
    </row>
    <row r="1071" spans="1:15">
      <c r="A1071" s="105">
        <v>44336</v>
      </c>
      <c r="B1071" s="85">
        <v>124.5</v>
      </c>
      <c r="C1071" s="85">
        <v>125.75</v>
      </c>
      <c r="D1071" s="85">
        <v>121.2</v>
      </c>
      <c r="E1071" s="85">
        <v>122.04</v>
      </c>
      <c r="F1071" s="85">
        <v>790533</v>
      </c>
      <c r="G1071" s="112">
        <f t="shared" si="32"/>
        <v>-2.2820081671871217E-2</v>
      </c>
      <c r="I1071" s="105">
        <v>44336</v>
      </c>
      <c r="J1071" s="85">
        <v>45709.67</v>
      </c>
      <c r="K1071" s="85">
        <v>45831.12</v>
      </c>
      <c r="L1071" s="85">
        <v>45518.74</v>
      </c>
      <c r="M1071" s="85">
        <v>45574.07</v>
      </c>
      <c r="N1071" s="123">
        <v>376148630</v>
      </c>
      <c r="O1071" s="112">
        <f t="shared" si="33"/>
        <v>-2.3650396183538813E-3</v>
      </c>
    </row>
    <row r="1072" spans="1:15">
      <c r="A1072" s="105">
        <v>44335</v>
      </c>
      <c r="B1072" s="85">
        <v>126</v>
      </c>
      <c r="C1072" s="85">
        <v>126</v>
      </c>
      <c r="D1072" s="85">
        <v>124.4</v>
      </c>
      <c r="E1072" s="85">
        <v>124.89</v>
      </c>
      <c r="F1072" s="85">
        <v>855326</v>
      </c>
      <c r="G1072" s="112">
        <f t="shared" si="32"/>
        <v>-1.0537157344319481E-2</v>
      </c>
      <c r="I1072" s="105">
        <v>44335</v>
      </c>
      <c r="J1072" s="85">
        <v>45898.06</v>
      </c>
      <c r="K1072" s="85">
        <v>45981.82</v>
      </c>
      <c r="L1072" s="85">
        <v>45610.91</v>
      </c>
      <c r="M1072" s="85">
        <v>45682.11</v>
      </c>
      <c r="N1072" s="123">
        <v>297556614</v>
      </c>
      <c r="O1072" s="112">
        <f t="shared" si="33"/>
        <v>-6.5180108138390702E-3</v>
      </c>
    </row>
    <row r="1073" spans="1:15">
      <c r="A1073" s="105">
        <v>44334</v>
      </c>
      <c r="B1073" s="85">
        <v>126.95</v>
      </c>
      <c r="C1073" s="85">
        <v>127.44</v>
      </c>
      <c r="D1073" s="85">
        <v>125.01</v>
      </c>
      <c r="E1073" s="85">
        <v>126.22</v>
      </c>
      <c r="F1073" s="85">
        <v>963005</v>
      </c>
      <c r="G1073" s="112">
        <f t="shared" si="32"/>
        <v>-3.0015797788309762E-3</v>
      </c>
      <c r="I1073" s="105">
        <v>44334</v>
      </c>
      <c r="J1073" s="85">
        <v>45835.13</v>
      </c>
      <c r="K1073" s="85">
        <v>46034.46</v>
      </c>
      <c r="L1073" s="85">
        <v>45617.54</v>
      </c>
      <c r="M1073" s="85">
        <v>45981.82</v>
      </c>
      <c r="N1073" s="123">
        <v>216311577</v>
      </c>
      <c r="O1073" s="112">
        <f t="shared" si="33"/>
        <v>4.0507630418258334E-3</v>
      </c>
    </row>
    <row r="1074" spans="1:15">
      <c r="A1074" s="105">
        <v>44333</v>
      </c>
      <c r="B1074" s="85">
        <v>125.8</v>
      </c>
      <c r="C1074" s="85">
        <v>128.25</v>
      </c>
      <c r="D1074" s="85">
        <v>125.01</v>
      </c>
      <c r="E1074" s="85">
        <v>126.6</v>
      </c>
      <c r="F1074" s="85">
        <v>1281995</v>
      </c>
      <c r="G1074" s="112">
        <f t="shared" si="32"/>
        <v>-3.6987487211772585E-3</v>
      </c>
      <c r="I1074" s="105">
        <v>44333</v>
      </c>
      <c r="J1074" s="85">
        <v>45499.519999999997</v>
      </c>
      <c r="K1074" s="85">
        <v>45807.49</v>
      </c>
      <c r="L1074" s="85">
        <v>45352.54</v>
      </c>
      <c r="M1074" s="85">
        <v>45796.31</v>
      </c>
      <c r="N1074" s="123">
        <v>201903651</v>
      </c>
      <c r="O1074" s="112">
        <f t="shared" si="33"/>
        <v>1.3760808878072517E-2</v>
      </c>
    </row>
    <row r="1075" spans="1:15">
      <c r="A1075" s="105">
        <v>44322</v>
      </c>
      <c r="B1075" s="85">
        <v>127.47</v>
      </c>
      <c r="C1075" s="85">
        <v>127.8</v>
      </c>
      <c r="D1075" s="85">
        <v>125.7</v>
      </c>
      <c r="E1075" s="85">
        <v>127.07</v>
      </c>
      <c r="F1075" s="85">
        <v>2620856</v>
      </c>
      <c r="G1075" s="112">
        <f t="shared" si="32"/>
        <v>4.5853427148390136E-3</v>
      </c>
      <c r="I1075" s="105">
        <v>44322</v>
      </c>
      <c r="J1075" s="85">
        <v>45116.02</v>
      </c>
      <c r="K1075" s="85">
        <v>45245.37</v>
      </c>
      <c r="L1075" s="85">
        <v>44889.59</v>
      </c>
      <c r="M1075" s="85">
        <v>45174.67</v>
      </c>
      <c r="N1075" s="123">
        <v>78642212</v>
      </c>
      <c r="O1075" s="112">
        <f t="shared" si="33"/>
        <v>5.1411090475375065E-3</v>
      </c>
    </row>
    <row r="1076" spans="1:15">
      <c r="A1076" s="105">
        <v>44321</v>
      </c>
      <c r="B1076" s="85">
        <v>128</v>
      </c>
      <c r="C1076" s="85">
        <v>128</v>
      </c>
      <c r="D1076" s="85">
        <v>125.99</v>
      </c>
      <c r="E1076" s="85">
        <v>126.49</v>
      </c>
      <c r="F1076" s="85">
        <v>440870</v>
      </c>
      <c r="G1076" s="112">
        <f t="shared" si="32"/>
        <v>-9.7855018005322814E-3</v>
      </c>
      <c r="I1076" s="105">
        <v>44321</v>
      </c>
      <c r="J1076" s="85">
        <v>44961.65</v>
      </c>
      <c r="K1076" s="85">
        <v>45173.61</v>
      </c>
      <c r="L1076" s="85">
        <v>44728.37</v>
      </c>
      <c r="M1076" s="85">
        <v>44943.61</v>
      </c>
      <c r="N1076" s="123">
        <v>129445703</v>
      </c>
      <c r="O1076" s="112">
        <f t="shared" si="33"/>
        <v>8.5275894513885397E-3</v>
      </c>
    </row>
    <row r="1077" spans="1:15">
      <c r="A1077" s="105">
        <v>44320</v>
      </c>
      <c r="B1077" s="85">
        <v>127.97</v>
      </c>
      <c r="C1077" s="85">
        <v>129</v>
      </c>
      <c r="D1077" s="85">
        <v>125</v>
      </c>
      <c r="E1077" s="85">
        <v>127.74</v>
      </c>
      <c r="F1077" s="85">
        <v>1612059</v>
      </c>
      <c r="G1077" s="112">
        <f t="shared" si="32"/>
        <v>1.5098537825810388E-2</v>
      </c>
      <c r="I1077" s="105">
        <v>44320</v>
      </c>
      <c r="J1077" s="85">
        <v>44121.8</v>
      </c>
      <c r="K1077" s="85">
        <v>44620.41</v>
      </c>
      <c r="L1077" s="85">
        <v>44121.8</v>
      </c>
      <c r="M1077" s="85">
        <v>44563.59</v>
      </c>
      <c r="N1077" s="123">
        <v>108320905</v>
      </c>
      <c r="O1077" s="112">
        <f t="shared" si="33"/>
        <v>1.1057895190601741E-2</v>
      </c>
    </row>
    <row r="1078" spans="1:15">
      <c r="A1078" s="105">
        <v>44319</v>
      </c>
      <c r="B1078" s="85">
        <v>126</v>
      </c>
      <c r="C1078" s="85">
        <v>127.85</v>
      </c>
      <c r="D1078" s="85">
        <v>123.55</v>
      </c>
      <c r="E1078" s="85">
        <v>125.84</v>
      </c>
      <c r="F1078" s="85">
        <v>3083550</v>
      </c>
      <c r="G1078" s="112">
        <f t="shared" si="32"/>
        <v>7.9295154185021755E-3</v>
      </c>
      <c r="I1078" s="105">
        <v>44319</v>
      </c>
      <c r="J1078" s="85">
        <v>44210.09</v>
      </c>
      <c r="K1078" s="85">
        <v>44326.01</v>
      </c>
      <c r="L1078" s="85">
        <v>43630.07</v>
      </c>
      <c r="M1078" s="85">
        <v>44076.2</v>
      </c>
      <c r="N1078" s="123">
        <v>125276315</v>
      </c>
      <c r="O1078" s="112">
        <f t="shared" si="33"/>
        <v>-4.2056058930445284E-3</v>
      </c>
    </row>
    <row r="1079" spans="1:15">
      <c r="A1079" s="105">
        <v>44316</v>
      </c>
      <c r="B1079" s="85">
        <v>124.55</v>
      </c>
      <c r="C1079" s="85">
        <v>126.5</v>
      </c>
      <c r="D1079" s="85">
        <v>122.11</v>
      </c>
      <c r="E1079" s="85">
        <v>124.85</v>
      </c>
      <c r="F1079" s="85">
        <v>1872049</v>
      </c>
      <c r="G1079" s="112">
        <f t="shared" si="32"/>
        <v>6.449012494961659E-3</v>
      </c>
      <c r="I1079" s="105">
        <v>44316</v>
      </c>
      <c r="J1079" s="85">
        <v>44933.62</v>
      </c>
      <c r="K1079" s="85">
        <v>45056.9</v>
      </c>
      <c r="L1079" s="85">
        <v>44144.23</v>
      </c>
      <c r="M1079" s="85">
        <v>44262.35</v>
      </c>
      <c r="N1079" s="123">
        <v>153942599</v>
      </c>
      <c r="O1079" s="112">
        <f t="shared" si="33"/>
        <v>-1.3390957514982871E-2</v>
      </c>
    </row>
    <row r="1080" spans="1:15">
      <c r="A1080" s="105">
        <v>44315</v>
      </c>
      <c r="B1080" s="85">
        <v>123.8</v>
      </c>
      <c r="C1080" s="85">
        <v>126.99</v>
      </c>
      <c r="D1080" s="85">
        <v>121</v>
      </c>
      <c r="E1080" s="85">
        <v>124.05</v>
      </c>
      <c r="F1080" s="85">
        <v>2402046</v>
      </c>
      <c r="G1080" s="112">
        <f t="shared" si="32"/>
        <v>2.2622606447442184E-3</v>
      </c>
      <c r="I1080" s="105">
        <v>44315</v>
      </c>
      <c r="J1080" s="85">
        <v>45123.1</v>
      </c>
      <c r="K1080" s="85">
        <v>45143.34</v>
      </c>
      <c r="L1080" s="85">
        <v>44777.72</v>
      </c>
      <c r="M1080" s="85">
        <v>44863.11</v>
      </c>
      <c r="N1080" s="123">
        <v>138959463</v>
      </c>
      <c r="O1080" s="112">
        <f t="shared" si="33"/>
        <v>-4.3500627619892374E-3</v>
      </c>
    </row>
    <row r="1081" spans="1:15">
      <c r="A1081" s="105">
        <v>44314</v>
      </c>
      <c r="B1081" s="85">
        <v>124.6</v>
      </c>
      <c r="C1081" s="85">
        <v>126.3</v>
      </c>
      <c r="D1081" s="85">
        <v>123.25</v>
      </c>
      <c r="E1081" s="85">
        <v>123.77</v>
      </c>
      <c r="F1081" s="85">
        <v>1338651</v>
      </c>
      <c r="G1081" s="112">
        <f t="shared" si="32"/>
        <v>-1.7932238355947039E-2</v>
      </c>
      <c r="I1081" s="105">
        <v>44314</v>
      </c>
      <c r="J1081" s="85">
        <v>45351.97</v>
      </c>
      <c r="K1081" s="85">
        <v>45589.26</v>
      </c>
      <c r="L1081" s="85">
        <v>45020.83</v>
      </c>
      <c r="M1081" s="85">
        <v>45059.12</v>
      </c>
      <c r="N1081" s="123">
        <v>140915480</v>
      </c>
      <c r="O1081" s="112">
        <f t="shared" si="33"/>
        <v>-5.1608564438508919E-3</v>
      </c>
    </row>
    <row r="1082" spans="1:15">
      <c r="A1082" s="105">
        <v>44313</v>
      </c>
      <c r="B1082" s="85">
        <v>125.7</v>
      </c>
      <c r="C1082" s="85">
        <v>127.95</v>
      </c>
      <c r="D1082" s="85">
        <v>125.03</v>
      </c>
      <c r="E1082" s="85">
        <v>126.03</v>
      </c>
      <c r="F1082" s="85">
        <v>1696191</v>
      </c>
      <c r="G1082" s="112">
        <f t="shared" si="32"/>
        <v>5.6654963293967242E-3</v>
      </c>
      <c r="I1082" s="105">
        <v>44313</v>
      </c>
      <c r="J1082" s="85">
        <v>45696.12</v>
      </c>
      <c r="K1082" s="85">
        <v>45937.68</v>
      </c>
      <c r="L1082" s="85">
        <v>45161.68</v>
      </c>
      <c r="M1082" s="85">
        <v>45292.87</v>
      </c>
      <c r="N1082" s="123">
        <v>172204555</v>
      </c>
      <c r="O1082" s="112">
        <f t="shared" si="33"/>
        <v>-8.5349465454918061E-3</v>
      </c>
    </row>
    <row r="1083" spans="1:15">
      <c r="A1083" s="105">
        <v>44312</v>
      </c>
      <c r="B1083" s="85">
        <v>122.5</v>
      </c>
      <c r="C1083" s="85">
        <v>129.19999999999999</v>
      </c>
      <c r="D1083" s="85">
        <v>121.02</v>
      </c>
      <c r="E1083" s="85">
        <v>125.32</v>
      </c>
      <c r="F1083" s="85">
        <v>3305701</v>
      </c>
      <c r="G1083" s="112">
        <f t="shared" si="32"/>
        <v>2.679229823842677E-2</v>
      </c>
      <c r="I1083" s="105">
        <v>44312</v>
      </c>
      <c r="J1083" s="85">
        <v>44574.1</v>
      </c>
      <c r="K1083" s="85">
        <v>45952.45</v>
      </c>
      <c r="L1083" s="85">
        <v>44388.71</v>
      </c>
      <c r="M1083" s="85">
        <v>45682.77</v>
      </c>
      <c r="N1083" s="123">
        <v>204065636</v>
      </c>
      <c r="O1083" s="112">
        <f t="shared" si="33"/>
        <v>2.1831374047235785E-2</v>
      </c>
    </row>
    <row r="1084" spans="1:15">
      <c r="A1084" s="105">
        <v>44309</v>
      </c>
      <c r="B1084" s="85">
        <v>123.7</v>
      </c>
      <c r="C1084" s="85">
        <v>123.7</v>
      </c>
      <c r="D1084" s="85">
        <v>121.9</v>
      </c>
      <c r="E1084" s="85">
        <v>122.05</v>
      </c>
      <c r="F1084" s="85">
        <v>864770</v>
      </c>
      <c r="G1084" s="112">
        <f t="shared" si="32"/>
        <v>-5.8646249083652569E-3</v>
      </c>
      <c r="I1084" s="105">
        <v>44309</v>
      </c>
      <c r="J1084" s="85">
        <v>44851.78</v>
      </c>
      <c r="K1084" s="85">
        <v>44858.6</v>
      </c>
      <c r="L1084" s="85">
        <v>44360.51</v>
      </c>
      <c r="M1084" s="85">
        <v>44706.76</v>
      </c>
      <c r="N1084" s="123">
        <v>96999702</v>
      </c>
      <c r="O1084" s="112">
        <f t="shared" si="33"/>
        <v>-4.9599807343085889E-3</v>
      </c>
    </row>
    <row r="1085" spans="1:15">
      <c r="A1085" s="105">
        <v>44308</v>
      </c>
      <c r="B1085" s="85">
        <v>120.05</v>
      </c>
      <c r="C1085" s="85">
        <v>127.49</v>
      </c>
      <c r="D1085" s="85">
        <v>120.05</v>
      </c>
      <c r="E1085" s="85">
        <v>122.77</v>
      </c>
      <c r="F1085" s="85">
        <v>1499670</v>
      </c>
      <c r="G1085" s="112">
        <f t="shared" si="32"/>
        <v>2.2231473771856747E-2</v>
      </c>
      <c r="I1085" s="105">
        <v>44308</v>
      </c>
      <c r="J1085" s="85">
        <v>45370.89</v>
      </c>
      <c r="K1085" s="85">
        <v>45494.14</v>
      </c>
      <c r="L1085" s="85">
        <v>44882.59</v>
      </c>
      <c r="M1085" s="85">
        <v>44929.61</v>
      </c>
      <c r="N1085" s="123">
        <v>139538852</v>
      </c>
      <c r="O1085" s="112">
        <f t="shared" si="33"/>
        <v>-8.319549451359598E-3</v>
      </c>
    </row>
    <row r="1086" spans="1:15">
      <c r="A1086" s="105">
        <v>44307</v>
      </c>
      <c r="B1086" s="85">
        <v>120</v>
      </c>
      <c r="C1086" s="85">
        <v>121.4</v>
      </c>
      <c r="D1086" s="85">
        <v>119.01</v>
      </c>
      <c r="E1086" s="85">
        <v>120.1</v>
      </c>
      <c r="F1086" s="85">
        <v>1072058</v>
      </c>
      <c r="G1086" s="112">
        <f t="shared" si="32"/>
        <v>4.6846243935083631E-3</v>
      </c>
      <c r="I1086" s="105">
        <v>44307</v>
      </c>
      <c r="J1086" s="85">
        <v>45538.07</v>
      </c>
      <c r="K1086" s="85">
        <v>45626.879999999997</v>
      </c>
      <c r="L1086" s="85">
        <v>45226.18</v>
      </c>
      <c r="M1086" s="85">
        <v>45306.54</v>
      </c>
      <c r="N1086" s="123">
        <v>171317725</v>
      </c>
      <c r="O1086" s="112">
        <f t="shared" si="33"/>
        <v>-2.0537544455060397E-3</v>
      </c>
    </row>
    <row r="1087" spans="1:15">
      <c r="A1087" s="105">
        <v>44306</v>
      </c>
      <c r="B1087" s="85">
        <v>119</v>
      </c>
      <c r="C1087" s="85">
        <v>120.99</v>
      </c>
      <c r="D1087" s="85">
        <v>117.52</v>
      </c>
      <c r="E1087" s="85">
        <v>119.54</v>
      </c>
      <c r="F1087" s="85">
        <v>895996</v>
      </c>
      <c r="G1087" s="112">
        <f t="shared" si="32"/>
        <v>1.7881471389645798E-2</v>
      </c>
      <c r="I1087" s="105">
        <v>44306</v>
      </c>
      <c r="J1087" s="85">
        <v>45233.42</v>
      </c>
      <c r="K1087" s="85">
        <v>45558.13</v>
      </c>
      <c r="L1087" s="85">
        <v>45221.1</v>
      </c>
      <c r="M1087" s="85">
        <v>45399.78</v>
      </c>
      <c r="N1087" s="123">
        <v>128388089</v>
      </c>
      <c r="O1087" s="112">
        <f t="shared" si="33"/>
        <v>1.0825458764466944E-2</v>
      </c>
    </row>
    <row r="1088" spans="1:15">
      <c r="A1088" s="105">
        <v>44305</v>
      </c>
      <c r="B1088" s="85">
        <v>117.05</v>
      </c>
      <c r="C1088" s="85">
        <v>120</v>
      </c>
      <c r="D1088" s="85">
        <v>116.9</v>
      </c>
      <c r="E1088" s="85">
        <v>117.44</v>
      </c>
      <c r="F1088" s="85">
        <v>238583</v>
      </c>
      <c r="G1088" s="112">
        <f t="shared" si="32"/>
        <v>-9.1959841390365504E-3</v>
      </c>
      <c r="I1088" s="105">
        <v>44305</v>
      </c>
      <c r="J1088" s="85">
        <v>45057.33</v>
      </c>
      <c r="K1088" s="85">
        <v>45251.79</v>
      </c>
      <c r="L1088" s="85">
        <v>44606.06</v>
      </c>
      <c r="M1088" s="85">
        <v>44913.57</v>
      </c>
      <c r="N1088" s="123">
        <v>131249513</v>
      </c>
      <c r="O1088" s="112">
        <f t="shared" si="33"/>
        <v>-8.6536706365191174E-3</v>
      </c>
    </row>
    <row r="1089" spans="1:15">
      <c r="A1089" s="105">
        <v>44302</v>
      </c>
      <c r="B1089" s="85">
        <v>118.68</v>
      </c>
      <c r="C1089" s="85">
        <v>119.25</v>
      </c>
      <c r="D1089" s="85">
        <v>118</v>
      </c>
      <c r="E1089" s="85">
        <v>118.53</v>
      </c>
      <c r="F1089" s="85">
        <v>896941</v>
      </c>
      <c r="G1089" s="112">
        <f t="shared" si="32"/>
        <v>4.5766590389015871E-3</v>
      </c>
      <c r="I1089" s="105">
        <v>44302</v>
      </c>
      <c r="J1089" s="85">
        <v>45343.55</v>
      </c>
      <c r="K1089" s="85">
        <v>45471.35</v>
      </c>
      <c r="L1089" s="85">
        <v>45269.03</v>
      </c>
      <c r="M1089" s="85">
        <v>45305.63</v>
      </c>
      <c r="N1089" s="123">
        <v>55283679</v>
      </c>
      <c r="O1089" s="112">
        <f t="shared" si="33"/>
        <v>1.6681339760309388E-3</v>
      </c>
    </row>
    <row r="1090" spans="1:15">
      <c r="A1090" s="105">
        <v>44301</v>
      </c>
      <c r="B1090" s="85">
        <v>119.01</v>
      </c>
      <c r="C1090" s="85">
        <v>119.01</v>
      </c>
      <c r="D1090" s="85">
        <v>117.4</v>
      </c>
      <c r="E1090" s="85">
        <v>117.99</v>
      </c>
      <c r="F1090" s="85">
        <v>436813</v>
      </c>
      <c r="G1090" s="112">
        <f t="shared" si="32"/>
        <v>-6.8181818181818343E-3</v>
      </c>
      <c r="I1090" s="105">
        <v>44301</v>
      </c>
      <c r="J1090" s="85">
        <v>45357.63</v>
      </c>
      <c r="K1090" s="85">
        <v>45447.49</v>
      </c>
      <c r="L1090" s="85">
        <v>45174.89</v>
      </c>
      <c r="M1090" s="85">
        <v>45230.18</v>
      </c>
      <c r="N1090" s="123">
        <v>85559305</v>
      </c>
      <c r="O1090" s="112">
        <f t="shared" si="33"/>
        <v>-1.7885194881090971E-3</v>
      </c>
    </row>
    <row r="1091" spans="1:15">
      <c r="A1091" s="105">
        <v>44300</v>
      </c>
      <c r="B1091" s="85">
        <v>117.94</v>
      </c>
      <c r="C1091" s="85">
        <v>119.3</v>
      </c>
      <c r="D1091" s="85">
        <v>117.94</v>
      </c>
      <c r="E1091" s="85">
        <v>118.8</v>
      </c>
      <c r="F1091" s="85">
        <v>1361999</v>
      </c>
      <c r="G1091" s="112">
        <f t="shared" si="32"/>
        <v>9.3457943925232545E-3</v>
      </c>
      <c r="I1091" s="105">
        <v>44300</v>
      </c>
      <c r="J1091" s="85">
        <v>45099.5</v>
      </c>
      <c r="K1091" s="85">
        <v>45347.4</v>
      </c>
      <c r="L1091" s="85">
        <v>45082.85</v>
      </c>
      <c r="M1091" s="85">
        <v>45311.22</v>
      </c>
      <c r="N1091" s="123">
        <v>135875281</v>
      </c>
      <c r="O1091" s="112">
        <f t="shared" si="33"/>
        <v>5.8303737499325603E-3</v>
      </c>
    </row>
    <row r="1092" spans="1:15">
      <c r="A1092" s="105">
        <v>44299</v>
      </c>
      <c r="B1092" s="85">
        <v>117.3</v>
      </c>
      <c r="C1092" s="85">
        <v>118.04</v>
      </c>
      <c r="D1092" s="85">
        <v>115.77</v>
      </c>
      <c r="E1092" s="85">
        <v>117.7</v>
      </c>
      <c r="F1092" s="85">
        <v>977655</v>
      </c>
      <c r="G1092" s="112">
        <f t="shared" ref="G1092:G1155" si="34">E1092/E1093-1</f>
        <v>9.0012858979853227E-3</v>
      </c>
      <c r="I1092" s="105">
        <v>44299</v>
      </c>
      <c r="J1092" s="85">
        <v>44933.7</v>
      </c>
      <c r="K1092" s="85">
        <v>45133.41</v>
      </c>
      <c r="L1092" s="85">
        <v>44788.88</v>
      </c>
      <c r="M1092" s="85">
        <v>45048.57</v>
      </c>
      <c r="N1092" s="123">
        <v>183852391</v>
      </c>
      <c r="O1092" s="112">
        <f t="shared" ref="O1092:O1155" si="35">M1092/M1093-1</f>
        <v>1.5678758861266129E-3</v>
      </c>
    </row>
    <row r="1093" spans="1:15">
      <c r="A1093" s="105">
        <v>44298</v>
      </c>
      <c r="B1093" s="85">
        <v>118.7</v>
      </c>
      <c r="C1093" s="85">
        <v>118.7</v>
      </c>
      <c r="D1093" s="85">
        <v>116</v>
      </c>
      <c r="E1093" s="85">
        <v>116.65</v>
      </c>
      <c r="F1093" s="85">
        <v>179011</v>
      </c>
      <c r="G1093" s="112">
        <f t="shared" si="34"/>
        <v>-6.1344466217942983E-3</v>
      </c>
      <c r="I1093" s="105">
        <v>44298</v>
      </c>
      <c r="J1093" s="85">
        <v>45226.33</v>
      </c>
      <c r="K1093" s="85">
        <v>45268.68</v>
      </c>
      <c r="L1093" s="85">
        <v>44757.31</v>
      </c>
      <c r="M1093" s="85">
        <v>44978.05</v>
      </c>
      <c r="N1093" s="123">
        <v>173419005</v>
      </c>
      <c r="O1093" s="112">
        <f t="shared" si="35"/>
        <v>-4.6126629027090083E-3</v>
      </c>
    </row>
    <row r="1094" spans="1:15">
      <c r="A1094" s="105">
        <v>44295</v>
      </c>
      <c r="B1094" s="85">
        <v>118</v>
      </c>
      <c r="C1094" s="85">
        <v>118.95</v>
      </c>
      <c r="D1094" s="85">
        <v>114.01</v>
      </c>
      <c r="E1094" s="85">
        <v>117.37</v>
      </c>
      <c r="F1094" s="85">
        <v>558914</v>
      </c>
      <c r="G1094" s="112">
        <f t="shared" si="34"/>
        <v>1.4784713816358375E-2</v>
      </c>
      <c r="I1094" s="105">
        <v>44295</v>
      </c>
      <c r="J1094" s="85">
        <v>44868.04</v>
      </c>
      <c r="K1094" s="85">
        <v>45249.98</v>
      </c>
      <c r="L1094" s="85">
        <v>44843.25</v>
      </c>
      <c r="M1094" s="85">
        <v>45186.48</v>
      </c>
      <c r="N1094" s="123">
        <v>293005438</v>
      </c>
      <c r="O1094" s="112">
        <f t="shared" si="35"/>
        <v>9.9487364711310367E-3</v>
      </c>
    </row>
    <row r="1095" spans="1:15">
      <c r="A1095" s="105">
        <v>44294</v>
      </c>
      <c r="B1095" s="85">
        <v>114.87</v>
      </c>
      <c r="C1095" s="85">
        <v>117.4</v>
      </c>
      <c r="D1095" s="85">
        <v>112.11</v>
      </c>
      <c r="E1095" s="85">
        <v>115.66</v>
      </c>
      <c r="F1095" s="85">
        <v>998575</v>
      </c>
      <c r="G1095" s="112">
        <f t="shared" si="34"/>
        <v>1.8133802816901357E-2</v>
      </c>
      <c r="I1095" s="105">
        <v>44294</v>
      </c>
      <c r="J1095" s="85">
        <v>44176.5</v>
      </c>
      <c r="K1095" s="85">
        <v>44759.37</v>
      </c>
      <c r="L1095" s="85">
        <v>44096.85</v>
      </c>
      <c r="M1095" s="85">
        <v>44741.36</v>
      </c>
      <c r="N1095" s="123">
        <v>186036071</v>
      </c>
      <c r="O1095" s="112">
        <f t="shared" si="35"/>
        <v>1.7922999673746665E-2</v>
      </c>
    </row>
    <row r="1096" spans="1:15">
      <c r="A1096" s="105">
        <v>44293</v>
      </c>
      <c r="B1096" s="85">
        <v>116.5</v>
      </c>
      <c r="C1096" s="85">
        <v>117.38</v>
      </c>
      <c r="D1096" s="85">
        <v>113</v>
      </c>
      <c r="E1096" s="85">
        <v>113.6</v>
      </c>
      <c r="F1096" s="85">
        <v>1813618</v>
      </c>
      <c r="G1096" s="112">
        <f t="shared" si="34"/>
        <v>-2.7647008473850931E-2</v>
      </c>
      <c r="I1096" s="105">
        <v>44293</v>
      </c>
      <c r="J1096" s="85">
        <v>44557.47</v>
      </c>
      <c r="K1096" s="85">
        <v>44571.91</v>
      </c>
      <c r="L1096" s="85">
        <v>43751.77</v>
      </c>
      <c r="M1096" s="85">
        <v>43953.58</v>
      </c>
      <c r="N1096" s="123">
        <v>195146264</v>
      </c>
      <c r="O1096" s="112">
        <f t="shared" si="35"/>
        <v>-1.0159284940557956E-2</v>
      </c>
    </row>
    <row r="1097" spans="1:15">
      <c r="A1097" s="105">
        <v>44292</v>
      </c>
      <c r="B1097" s="85">
        <v>114.85</v>
      </c>
      <c r="C1097" s="85">
        <v>117.57</v>
      </c>
      <c r="D1097" s="85">
        <v>114.55</v>
      </c>
      <c r="E1097" s="85">
        <v>116.83</v>
      </c>
      <c r="F1097" s="85">
        <v>242127</v>
      </c>
      <c r="G1097" s="112">
        <f t="shared" si="34"/>
        <v>1.6354936929099617E-2</v>
      </c>
      <c r="I1097" s="105">
        <v>44292</v>
      </c>
      <c r="J1097" s="85">
        <v>43617.27</v>
      </c>
      <c r="K1097" s="85">
        <v>44478.239999999998</v>
      </c>
      <c r="L1097" s="85">
        <v>43595.09</v>
      </c>
      <c r="M1097" s="85">
        <v>44404.7</v>
      </c>
      <c r="N1097" s="123">
        <v>157971446</v>
      </c>
      <c r="O1097" s="112">
        <f t="shared" si="35"/>
        <v>1.9667628129835801E-2</v>
      </c>
    </row>
    <row r="1098" spans="1:15">
      <c r="A1098" s="105">
        <v>44291</v>
      </c>
      <c r="B1098" s="85">
        <v>117.89</v>
      </c>
      <c r="C1098" s="85">
        <v>117.89</v>
      </c>
      <c r="D1098" s="85">
        <v>114.5</v>
      </c>
      <c r="E1098" s="85">
        <v>114.95</v>
      </c>
      <c r="F1098" s="85">
        <v>272428</v>
      </c>
      <c r="G1098" s="112">
        <f t="shared" si="34"/>
        <v>-2.0952218720722171E-2</v>
      </c>
      <c r="I1098" s="105">
        <v>44291</v>
      </c>
      <c r="J1098" s="85">
        <v>44397.09</v>
      </c>
      <c r="K1098" s="85">
        <v>44431.24</v>
      </c>
      <c r="L1098" s="85">
        <v>43471.19</v>
      </c>
      <c r="M1098" s="85">
        <v>43548.21</v>
      </c>
      <c r="N1098" s="123">
        <v>139198336</v>
      </c>
      <c r="O1098" s="112">
        <f t="shared" si="35"/>
        <v>-1.6991509211427669E-2</v>
      </c>
    </row>
    <row r="1099" spans="1:15">
      <c r="A1099" s="105">
        <v>44288</v>
      </c>
      <c r="B1099" s="85">
        <v>117.4</v>
      </c>
      <c r="C1099" s="85">
        <v>118</v>
      </c>
      <c r="D1099" s="85">
        <v>116.05</v>
      </c>
      <c r="E1099" s="85">
        <v>117.41</v>
      </c>
      <c r="F1099" s="85">
        <v>157824</v>
      </c>
      <c r="G1099" s="112">
        <f t="shared" si="34"/>
        <v>5.1365465285506673E-3</v>
      </c>
      <c r="I1099" s="105">
        <v>44288</v>
      </c>
      <c r="J1099" s="85">
        <v>44573.64</v>
      </c>
      <c r="K1099" s="85">
        <v>44610.44</v>
      </c>
      <c r="L1099" s="85">
        <v>44197.9</v>
      </c>
      <c r="M1099" s="85">
        <v>44300.95</v>
      </c>
      <c r="N1099" s="123">
        <v>140758262</v>
      </c>
      <c r="O1099" s="112">
        <f t="shared" si="35"/>
        <v>-2.8619274738285183E-3</v>
      </c>
    </row>
    <row r="1100" spans="1:15">
      <c r="A1100" s="105">
        <v>44287</v>
      </c>
      <c r="B1100" s="85">
        <v>116.78</v>
      </c>
      <c r="C1100" s="85">
        <v>119</v>
      </c>
      <c r="D1100" s="85">
        <v>116</v>
      </c>
      <c r="E1100" s="85">
        <v>116.81</v>
      </c>
      <c r="F1100" s="85">
        <v>1208979</v>
      </c>
      <c r="G1100" s="112">
        <f t="shared" si="34"/>
        <v>5.4226200723015427E-3</v>
      </c>
      <c r="I1100" s="105">
        <v>44287</v>
      </c>
      <c r="J1100" s="85">
        <v>44697.83</v>
      </c>
      <c r="K1100" s="85">
        <v>44879.79</v>
      </c>
      <c r="L1100" s="85">
        <v>44330.81</v>
      </c>
      <c r="M1100" s="85">
        <v>44428.1</v>
      </c>
      <c r="N1100" s="123">
        <v>188643901</v>
      </c>
      <c r="O1100" s="112">
        <f t="shared" si="35"/>
        <v>-3.5828146008385353E-3</v>
      </c>
    </row>
    <row r="1101" spans="1:15">
      <c r="A1101" s="105">
        <v>44286</v>
      </c>
      <c r="B1101" s="85">
        <v>118.8</v>
      </c>
      <c r="C1101" s="85">
        <v>120.4</v>
      </c>
      <c r="D1101" s="85">
        <v>115</v>
      </c>
      <c r="E1101" s="85">
        <v>116.18</v>
      </c>
      <c r="F1101" s="85">
        <v>1835403</v>
      </c>
      <c r="G1101" s="112">
        <f t="shared" si="34"/>
        <v>-1.5006358626536653E-2</v>
      </c>
      <c r="I1101" s="105">
        <v>44286</v>
      </c>
      <c r="J1101" s="85">
        <v>44778.36</v>
      </c>
      <c r="K1101" s="85">
        <v>45133.25</v>
      </c>
      <c r="L1101" s="85">
        <v>44477.82</v>
      </c>
      <c r="M1101" s="85">
        <v>44587.85</v>
      </c>
      <c r="N1101" s="123">
        <v>238759718</v>
      </c>
      <c r="O1101" s="112">
        <f t="shared" si="35"/>
        <v>2.1761689940646978E-3</v>
      </c>
    </row>
    <row r="1102" spans="1:15">
      <c r="A1102" s="105">
        <v>44285</v>
      </c>
      <c r="B1102" s="85">
        <v>118.94</v>
      </c>
      <c r="C1102" s="85">
        <v>119.5</v>
      </c>
      <c r="D1102" s="85">
        <v>117.06</v>
      </c>
      <c r="E1102" s="85">
        <v>117.95</v>
      </c>
      <c r="F1102" s="85">
        <v>589234</v>
      </c>
      <c r="G1102" s="112">
        <f t="shared" si="34"/>
        <v>-6.7779378124199763E-4</v>
      </c>
      <c r="I1102" s="105">
        <v>44285</v>
      </c>
      <c r="J1102" s="85">
        <v>44332</v>
      </c>
      <c r="K1102" s="85">
        <v>44808.63</v>
      </c>
      <c r="L1102" s="85">
        <v>44199.26</v>
      </c>
      <c r="M1102" s="85">
        <v>44491.03</v>
      </c>
      <c r="N1102" s="123">
        <v>175401199</v>
      </c>
      <c r="O1102" s="112">
        <f t="shared" si="35"/>
        <v>1.3330542539351509E-3</v>
      </c>
    </row>
    <row r="1103" spans="1:15">
      <c r="A1103" s="105">
        <v>44284</v>
      </c>
      <c r="B1103" s="85">
        <v>120</v>
      </c>
      <c r="C1103" s="85">
        <v>120</v>
      </c>
      <c r="D1103" s="85">
        <v>117</v>
      </c>
      <c r="E1103" s="85">
        <v>118.03</v>
      </c>
      <c r="F1103" s="85">
        <v>655363</v>
      </c>
      <c r="G1103" s="112">
        <f t="shared" si="34"/>
        <v>-1.8951043138558776E-2</v>
      </c>
      <c r="I1103" s="105">
        <v>44284</v>
      </c>
      <c r="J1103" s="85">
        <v>45450.18</v>
      </c>
      <c r="K1103" s="85">
        <v>45450.18</v>
      </c>
      <c r="L1103" s="85">
        <v>44312.97</v>
      </c>
      <c r="M1103" s="85">
        <v>44431.8</v>
      </c>
      <c r="N1103" s="123">
        <v>316168616</v>
      </c>
      <c r="O1103" s="112">
        <f t="shared" si="35"/>
        <v>-2.3940926544150476E-2</v>
      </c>
    </row>
    <row r="1104" spans="1:15">
      <c r="A1104" s="105">
        <v>44281</v>
      </c>
      <c r="B1104" s="85">
        <v>124</v>
      </c>
      <c r="C1104" s="85">
        <v>124</v>
      </c>
      <c r="D1104" s="85">
        <v>119.1</v>
      </c>
      <c r="E1104" s="85">
        <v>120.31</v>
      </c>
      <c r="F1104" s="85">
        <v>892420</v>
      </c>
      <c r="G1104" s="112">
        <f t="shared" si="34"/>
        <v>-2.5277485214291517E-2</v>
      </c>
      <c r="I1104" s="105">
        <v>44281</v>
      </c>
      <c r="J1104" s="85">
        <v>45703.88</v>
      </c>
      <c r="K1104" s="85">
        <v>45764.24</v>
      </c>
      <c r="L1104" s="85">
        <v>45434.43</v>
      </c>
      <c r="M1104" s="85">
        <v>45521.63</v>
      </c>
      <c r="N1104" s="123">
        <v>321407499</v>
      </c>
      <c r="O1104" s="112">
        <f t="shared" si="35"/>
        <v>-4.4729319059375605E-3</v>
      </c>
    </row>
    <row r="1105" spans="1:15">
      <c r="A1105" s="105">
        <v>44280</v>
      </c>
      <c r="B1105" s="85">
        <v>124</v>
      </c>
      <c r="C1105" s="85">
        <v>125</v>
      </c>
      <c r="D1105" s="85">
        <v>123</v>
      </c>
      <c r="E1105" s="85">
        <v>123.43</v>
      </c>
      <c r="F1105" s="85">
        <v>502918</v>
      </c>
      <c r="G1105" s="112">
        <f t="shared" si="34"/>
        <v>-2.8275973501372675E-3</v>
      </c>
      <c r="I1105" s="105">
        <v>44280</v>
      </c>
      <c r="J1105" s="85">
        <v>45706.58</v>
      </c>
      <c r="K1105" s="85">
        <v>46000.11</v>
      </c>
      <c r="L1105" s="85">
        <v>45544.2</v>
      </c>
      <c r="M1105" s="85">
        <v>45726.16</v>
      </c>
      <c r="N1105" s="123">
        <v>292487850</v>
      </c>
      <c r="O1105" s="112">
        <f t="shared" si="35"/>
        <v>3.9954602332372691E-3</v>
      </c>
    </row>
    <row r="1106" spans="1:15">
      <c r="A1106" s="105">
        <v>44279</v>
      </c>
      <c r="B1106" s="85">
        <v>124.75</v>
      </c>
      <c r="C1106" s="85">
        <v>124.75</v>
      </c>
      <c r="D1106" s="85">
        <v>121.55</v>
      </c>
      <c r="E1106" s="85">
        <v>123.78</v>
      </c>
      <c r="F1106" s="85">
        <v>872323</v>
      </c>
      <c r="G1106" s="112">
        <f t="shared" si="34"/>
        <v>7.2762551540139775E-4</v>
      </c>
      <c r="I1106" s="105">
        <v>44279</v>
      </c>
      <c r="J1106" s="85">
        <v>45390.73</v>
      </c>
      <c r="K1106" s="85">
        <v>45593.61</v>
      </c>
      <c r="L1106" s="85">
        <v>45255.55</v>
      </c>
      <c r="M1106" s="85">
        <v>45544.19</v>
      </c>
      <c r="N1106" s="123">
        <v>272534268</v>
      </c>
      <c r="O1106" s="112">
        <f t="shared" si="35"/>
        <v>3.0140508151437206E-3</v>
      </c>
    </row>
    <row r="1107" spans="1:15">
      <c r="A1107" s="105">
        <v>44277</v>
      </c>
      <c r="B1107" s="85">
        <v>123.34</v>
      </c>
      <c r="C1107" s="85">
        <v>124.8</v>
      </c>
      <c r="D1107" s="85">
        <v>122.33</v>
      </c>
      <c r="E1107" s="85">
        <v>123.69</v>
      </c>
      <c r="F1107" s="85">
        <v>264991</v>
      </c>
      <c r="G1107" s="112">
        <f t="shared" si="34"/>
        <v>2.7563842723956622E-3</v>
      </c>
      <c r="I1107" s="105">
        <v>44277</v>
      </c>
      <c r="J1107" s="85">
        <v>44917.5</v>
      </c>
      <c r="K1107" s="85">
        <v>45465.63</v>
      </c>
      <c r="L1107" s="85">
        <v>44735.57</v>
      </c>
      <c r="M1107" s="85">
        <v>45407.33</v>
      </c>
      <c r="N1107" s="123">
        <v>277361580</v>
      </c>
      <c r="O1107" s="112">
        <f t="shared" si="35"/>
        <v>1.1269604383480125E-2</v>
      </c>
    </row>
    <row r="1108" spans="1:15">
      <c r="A1108" s="105">
        <v>44274</v>
      </c>
      <c r="B1108" s="85">
        <v>120.89</v>
      </c>
      <c r="C1108" s="85">
        <v>125</v>
      </c>
      <c r="D1108" s="85">
        <v>118.01</v>
      </c>
      <c r="E1108" s="85">
        <v>123.35</v>
      </c>
      <c r="F1108" s="85">
        <v>2654698</v>
      </c>
      <c r="G1108" s="112">
        <f t="shared" si="34"/>
        <v>3.0234694729808664E-2</v>
      </c>
      <c r="I1108" s="105">
        <v>44274</v>
      </c>
      <c r="J1108" s="85">
        <v>44768.18</v>
      </c>
      <c r="K1108" s="85">
        <v>45172.33</v>
      </c>
      <c r="L1108" s="85">
        <v>44393.279999999999</v>
      </c>
      <c r="M1108" s="85">
        <v>44901.31</v>
      </c>
      <c r="N1108" s="123">
        <v>289180849</v>
      </c>
      <c r="O1108" s="112">
        <f t="shared" si="35"/>
        <v>3.9625177393212141E-3</v>
      </c>
    </row>
    <row r="1109" spans="1:15">
      <c r="A1109" s="105">
        <v>44273</v>
      </c>
      <c r="B1109" s="85">
        <v>121.4</v>
      </c>
      <c r="C1109" s="85">
        <v>122.8</v>
      </c>
      <c r="D1109" s="85">
        <v>119</v>
      </c>
      <c r="E1109" s="85">
        <v>119.73</v>
      </c>
      <c r="F1109" s="85">
        <v>1360154</v>
      </c>
      <c r="G1109" s="112">
        <f t="shared" si="34"/>
        <v>-3.4669031685882423E-2</v>
      </c>
      <c r="I1109" s="105">
        <v>44273</v>
      </c>
      <c r="J1109" s="85">
        <v>45502.95</v>
      </c>
      <c r="K1109" s="85">
        <v>45612.95</v>
      </c>
      <c r="L1109" s="85">
        <v>44641.29</v>
      </c>
      <c r="M1109" s="85">
        <v>44724.09</v>
      </c>
      <c r="N1109" s="123">
        <v>299928331</v>
      </c>
      <c r="O1109" s="112">
        <f t="shared" si="35"/>
        <v>-1.5978328860683289E-2</v>
      </c>
    </row>
    <row r="1110" spans="1:15">
      <c r="A1110" s="105">
        <v>44272</v>
      </c>
      <c r="B1110" s="85">
        <v>123.15</v>
      </c>
      <c r="C1110" s="85">
        <v>125</v>
      </c>
      <c r="D1110" s="85">
        <v>122.5</v>
      </c>
      <c r="E1110" s="85">
        <v>124.03</v>
      </c>
      <c r="F1110" s="85">
        <v>1245841</v>
      </c>
      <c r="G1110" s="112">
        <f t="shared" si="34"/>
        <v>2.1663920922569968E-2</v>
      </c>
      <c r="I1110" s="105">
        <v>44272</v>
      </c>
      <c r="J1110" s="85">
        <v>45175.09</v>
      </c>
      <c r="K1110" s="85">
        <v>45541.04</v>
      </c>
      <c r="L1110" s="85">
        <v>45175.09</v>
      </c>
      <c r="M1110" s="85">
        <v>45450.31</v>
      </c>
      <c r="N1110" s="123">
        <v>263125791</v>
      </c>
      <c r="O1110" s="112">
        <f t="shared" si="35"/>
        <v>1.3225342900314851E-2</v>
      </c>
    </row>
    <row r="1111" spans="1:15">
      <c r="A1111" s="105">
        <v>44271</v>
      </c>
      <c r="B1111" s="85">
        <v>120</v>
      </c>
      <c r="C1111" s="85">
        <v>122</v>
      </c>
      <c r="D1111" s="85">
        <v>119.19</v>
      </c>
      <c r="E1111" s="85">
        <v>121.4</v>
      </c>
      <c r="F1111" s="85">
        <v>1034798</v>
      </c>
      <c r="G1111" s="112">
        <f t="shared" si="34"/>
        <v>1.3694054776219211E-2</v>
      </c>
      <c r="I1111" s="105">
        <v>44271</v>
      </c>
      <c r="J1111" s="85">
        <v>44869.17</v>
      </c>
      <c r="K1111" s="85">
        <v>44910.93</v>
      </c>
      <c r="L1111" s="85">
        <v>44545.43</v>
      </c>
      <c r="M1111" s="85">
        <v>44857.06</v>
      </c>
      <c r="N1111" s="123">
        <v>168579970</v>
      </c>
      <c r="O1111" s="112">
        <f t="shared" si="35"/>
        <v>2.0209267670376896E-3</v>
      </c>
    </row>
    <row r="1112" spans="1:15">
      <c r="A1112" s="105">
        <v>44270</v>
      </c>
      <c r="B1112" s="85">
        <v>119.5</v>
      </c>
      <c r="C1112" s="85">
        <v>120.89</v>
      </c>
      <c r="D1112" s="85">
        <v>118.45</v>
      </c>
      <c r="E1112" s="85">
        <v>119.76</v>
      </c>
      <c r="F1112" s="85">
        <v>877093</v>
      </c>
      <c r="G1112" s="112">
        <f t="shared" si="34"/>
        <v>1.32836957441409E-2</v>
      </c>
      <c r="I1112" s="105">
        <v>44270</v>
      </c>
      <c r="J1112" s="85">
        <v>44326.98</v>
      </c>
      <c r="K1112" s="85">
        <v>44839.19</v>
      </c>
      <c r="L1112" s="85">
        <v>43788.08</v>
      </c>
      <c r="M1112" s="85">
        <v>44766.59</v>
      </c>
      <c r="N1112" s="123">
        <v>239611699</v>
      </c>
      <c r="O1112" s="112">
        <f t="shared" si="35"/>
        <v>2.2346492470096679E-2</v>
      </c>
    </row>
    <row r="1113" spans="1:15">
      <c r="A1113" s="105">
        <v>44267</v>
      </c>
      <c r="B1113" s="85">
        <v>116.51</v>
      </c>
      <c r="C1113" s="85">
        <v>119</v>
      </c>
      <c r="D1113" s="85">
        <v>115.02</v>
      </c>
      <c r="E1113" s="85">
        <v>118.19</v>
      </c>
      <c r="F1113" s="85">
        <v>924779</v>
      </c>
      <c r="G1113" s="112">
        <f t="shared" si="34"/>
        <v>2.337864750194818E-2</v>
      </c>
      <c r="I1113" s="105">
        <v>44267</v>
      </c>
      <c r="J1113" s="85">
        <v>42880.27</v>
      </c>
      <c r="K1113" s="85">
        <v>43986.18</v>
      </c>
      <c r="L1113" s="85">
        <v>42779.76</v>
      </c>
      <c r="M1113" s="85">
        <v>43788.08</v>
      </c>
      <c r="N1113" s="123">
        <v>169799260</v>
      </c>
      <c r="O1113" s="112">
        <f t="shared" si="35"/>
        <v>2.3570024703270853E-2</v>
      </c>
    </row>
    <row r="1114" spans="1:15">
      <c r="A1114" s="105">
        <v>44266</v>
      </c>
      <c r="B1114" s="85">
        <v>118.98</v>
      </c>
      <c r="C1114" s="85">
        <v>118.98</v>
      </c>
      <c r="D1114" s="85">
        <v>114.01</v>
      </c>
      <c r="E1114" s="85">
        <v>115.49</v>
      </c>
      <c r="F1114" s="85">
        <v>1188520</v>
      </c>
      <c r="G1114" s="112">
        <f t="shared" si="34"/>
        <v>-1.9942294636795754E-2</v>
      </c>
      <c r="I1114" s="105">
        <v>44266</v>
      </c>
      <c r="J1114" s="85">
        <v>43645</v>
      </c>
      <c r="K1114" s="85">
        <v>43892.31</v>
      </c>
      <c r="L1114" s="85">
        <v>42688.2</v>
      </c>
      <c r="M1114" s="85">
        <v>42779.76</v>
      </c>
      <c r="N1114" s="123">
        <v>196928637</v>
      </c>
      <c r="O1114" s="112">
        <f t="shared" si="35"/>
        <v>-2.0871708297781177E-2</v>
      </c>
    </row>
    <row r="1115" spans="1:15">
      <c r="A1115" s="105">
        <v>44265</v>
      </c>
      <c r="B1115" s="85">
        <v>120</v>
      </c>
      <c r="C1115" s="85">
        <v>120</v>
      </c>
      <c r="D1115" s="85">
        <v>117.4</v>
      </c>
      <c r="E1115" s="85">
        <v>117.84</v>
      </c>
      <c r="F1115" s="85">
        <v>673668</v>
      </c>
      <c r="G1115" s="112">
        <f t="shared" si="34"/>
        <v>-1.5209760989470134E-2</v>
      </c>
      <c r="I1115" s="105">
        <v>44265</v>
      </c>
      <c r="J1115" s="85">
        <v>44285.74</v>
      </c>
      <c r="K1115" s="85">
        <v>44424.04</v>
      </c>
      <c r="L1115" s="85">
        <v>43620.77</v>
      </c>
      <c r="M1115" s="85">
        <v>43691.68</v>
      </c>
      <c r="N1115" s="123">
        <v>188317275</v>
      </c>
      <c r="O1115" s="112">
        <f t="shared" si="35"/>
        <v>-1.201255186508543E-2</v>
      </c>
    </row>
    <row r="1116" spans="1:15">
      <c r="A1116" s="105">
        <v>44264</v>
      </c>
      <c r="B1116" s="85">
        <v>118.98</v>
      </c>
      <c r="C1116" s="85">
        <v>121.45</v>
      </c>
      <c r="D1116" s="85">
        <v>117</v>
      </c>
      <c r="E1116" s="85">
        <v>119.66</v>
      </c>
      <c r="F1116" s="85">
        <v>1586132</v>
      </c>
      <c r="G1116" s="112">
        <f t="shared" si="34"/>
        <v>3.9432838325361708E-3</v>
      </c>
      <c r="I1116" s="105">
        <v>44264</v>
      </c>
      <c r="J1116" s="85">
        <v>45018.77</v>
      </c>
      <c r="K1116" s="85">
        <v>45129.55</v>
      </c>
      <c r="L1116" s="85">
        <v>43946.3</v>
      </c>
      <c r="M1116" s="85">
        <v>44222.91</v>
      </c>
      <c r="N1116" s="123">
        <v>231666016</v>
      </c>
      <c r="O1116" s="112">
        <f t="shared" si="35"/>
        <v>-1.8382257461257878E-2</v>
      </c>
    </row>
    <row r="1117" spans="1:15">
      <c r="A1117" s="105">
        <v>44263</v>
      </c>
      <c r="B1117" s="85">
        <v>122.89</v>
      </c>
      <c r="C1117" s="85">
        <v>122.89</v>
      </c>
      <c r="D1117" s="85">
        <v>117.95</v>
      </c>
      <c r="E1117" s="85">
        <v>119.19</v>
      </c>
      <c r="F1117" s="85">
        <v>783257</v>
      </c>
      <c r="G1117" s="112">
        <f t="shared" si="34"/>
        <v>-1.8931599308585012E-2</v>
      </c>
      <c r="I1117" s="105">
        <v>44263</v>
      </c>
      <c r="J1117" s="85">
        <v>46421.38</v>
      </c>
      <c r="K1117" s="85">
        <v>46435.75</v>
      </c>
      <c r="L1117" s="85">
        <v>44848.66</v>
      </c>
      <c r="M1117" s="85">
        <v>45051.05</v>
      </c>
      <c r="N1117" s="123">
        <v>235649640</v>
      </c>
      <c r="O1117" s="112">
        <f t="shared" si="35"/>
        <v>-1.7154133037795449E-2</v>
      </c>
    </row>
    <row r="1118" spans="1:15">
      <c r="A1118" s="105">
        <v>44260</v>
      </c>
      <c r="B1118" s="85">
        <v>120.05</v>
      </c>
      <c r="C1118" s="85">
        <v>122</v>
      </c>
      <c r="D1118" s="85">
        <v>118.5</v>
      </c>
      <c r="E1118" s="85">
        <v>121.49</v>
      </c>
      <c r="F1118" s="85">
        <v>1854911</v>
      </c>
      <c r="G1118" s="112">
        <f t="shared" si="34"/>
        <v>1.810106427553837E-2</v>
      </c>
      <c r="I1118" s="105">
        <v>44260</v>
      </c>
      <c r="J1118" s="85">
        <v>45424.86</v>
      </c>
      <c r="K1118" s="85">
        <v>45947.11</v>
      </c>
      <c r="L1118" s="85">
        <v>45166.5</v>
      </c>
      <c r="M1118" s="85">
        <v>45837.35</v>
      </c>
      <c r="N1118" s="123">
        <v>168080239</v>
      </c>
      <c r="O1118" s="112">
        <f t="shared" si="35"/>
        <v>1.2341831768831746E-2</v>
      </c>
    </row>
    <row r="1119" spans="1:15">
      <c r="A1119" s="105">
        <v>44259</v>
      </c>
      <c r="B1119" s="85">
        <v>118.91</v>
      </c>
      <c r="C1119" s="85">
        <v>121.98</v>
      </c>
      <c r="D1119" s="85">
        <v>118.03</v>
      </c>
      <c r="E1119" s="85">
        <v>119.33</v>
      </c>
      <c r="F1119" s="85">
        <v>1739316</v>
      </c>
      <c r="G1119" s="112">
        <f t="shared" si="34"/>
        <v>-1.7212979739746337E-2</v>
      </c>
      <c r="I1119" s="105">
        <v>44259</v>
      </c>
      <c r="J1119" s="85">
        <v>45161.68</v>
      </c>
      <c r="K1119" s="85">
        <v>45809.29</v>
      </c>
      <c r="L1119" s="85">
        <v>45087.63</v>
      </c>
      <c r="M1119" s="85">
        <v>45278.53</v>
      </c>
      <c r="N1119" s="123">
        <v>215942457</v>
      </c>
      <c r="O1119" s="112">
        <f t="shared" si="35"/>
        <v>-1.9112545325273955E-2</v>
      </c>
    </row>
    <row r="1120" spans="1:15">
      <c r="A1120" s="105">
        <v>44258</v>
      </c>
      <c r="B1120" s="85">
        <v>123.25</v>
      </c>
      <c r="C1120" s="85">
        <v>123.26</v>
      </c>
      <c r="D1120" s="85">
        <v>121.01</v>
      </c>
      <c r="E1120" s="85">
        <v>121.42</v>
      </c>
      <c r="F1120" s="85">
        <v>1491313</v>
      </c>
      <c r="G1120" s="112">
        <f t="shared" si="34"/>
        <v>-1.684210526315788E-2</v>
      </c>
      <c r="I1120" s="105">
        <v>44258</v>
      </c>
      <c r="J1120" s="85">
        <v>46013.440000000002</v>
      </c>
      <c r="K1120" s="85">
        <v>46189.25</v>
      </c>
      <c r="L1120" s="85">
        <v>45923.57</v>
      </c>
      <c r="M1120" s="85">
        <v>46160.78</v>
      </c>
      <c r="N1120" s="123">
        <v>198943781</v>
      </c>
      <c r="O1120" s="112">
        <f t="shared" si="35"/>
        <v>4.2752772969092412E-3</v>
      </c>
    </row>
    <row r="1121" spans="1:15">
      <c r="A1121" s="105">
        <v>44257</v>
      </c>
      <c r="B1121" s="85">
        <v>121.05</v>
      </c>
      <c r="C1121" s="85">
        <v>124.5</v>
      </c>
      <c r="D1121" s="85">
        <v>121.05</v>
      </c>
      <c r="E1121" s="85">
        <v>123.5</v>
      </c>
      <c r="F1121" s="85">
        <v>2285676</v>
      </c>
      <c r="G1121" s="112">
        <f t="shared" si="34"/>
        <v>1.4373716632443578E-2</v>
      </c>
      <c r="I1121" s="105">
        <v>44257</v>
      </c>
      <c r="J1121" s="85">
        <v>45671.6</v>
      </c>
      <c r="K1121" s="85">
        <v>46077.919999999998</v>
      </c>
      <c r="L1121" s="85">
        <v>45530.98</v>
      </c>
      <c r="M1121" s="85">
        <v>45964.27</v>
      </c>
      <c r="N1121" s="123">
        <v>203648466</v>
      </c>
      <c r="O1121" s="112">
        <f t="shared" si="35"/>
        <v>8.1336280249149073E-3</v>
      </c>
    </row>
    <row r="1122" spans="1:15">
      <c r="A1122" s="105">
        <v>44256</v>
      </c>
      <c r="B1122" s="85">
        <v>123</v>
      </c>
      <c r="C1122" s="85">
        <v>124.8</v>
      </c>
      <c r="D1122" s="85">
        <v>120.85</v>
      </c>
      <c r="E1122" s="85">
        <v>121.75</v>
      </c>
      <c r="F1122" s="85">
        <v>1493603</v>
      </c>
      <c r="G1122" s="112">
        <f t="shared" si="34"/>
        <v>-1.5445576580947695E-2</v>
      </c>
      <c r="I1122" s="105">
        <v>44256</v>
      </c>
      <c r="J1122" s="85">
        <v>45856.59</v>
      </c>
      <c r="K1122" s="85">
        <v>46014.23</v>
      </c>
      <c r="L1122" s="85">
        <v>45088.58</v>
      </c>
      <c r="M1122" s="85">
        <v>45593.43</v>
      </c>
      <c r="N1122" s="123">
        <v>176290634</v>
      </c>
      <c r="O1122" s="112">
        <f t="shared" si="35"/>
        <v>-5.921506193608872E-3</v>
      </c>
    </row>
    <row r="1123" spans="1:15">
      <c r="A1123" s="105">
        <v>44253</v>
      </c>
      <c r="B1123" s="85">
        <v>121.97</v>
      </c>
      <c r="C1123" s="85">
        <v>127.22</v>
      </c>
      <c r="D1123" s="85">
        <v>121</v>
      </c>
      <c r="E1123" s="85">
        <v>123.66</v>
      </c>
      <c r="F1123" s="85">
        <v>4882868</v>
      </c>
      <c r="G1123" s="112">
        <f t="shared" si="34"/>
        <v>1.6689961358217653E-2</v>
      </c>
      <c r="I1123" s="105">
        <v>44253</v>
      </c>
      <c r="J1123" s="85">
        <v>45937.9</v>
      </c>
      <c r="K1123" s="85">
        <v>46239.89</v>
      </c>
      <c r="L1123" s="85">
        <v>45753.07</v>
      </c>
      <c r="M1123" s="85">
        <v>45865.02</v>
      </c>
      <c r="N1123" s="123">
        <v>233081167</v>
      </c>
      <c r="O1123" s="112">
        <f t="shared" si="35"/>
        <v>-2.1885922565605398E-3</v>
      </c>
    </row>
    <row r="1124" spans="1:15">
      <c r="A1124" s="105">
        <v>44252</v>
      </c>
      <c r="B1124" s="85">
        <v>119.8</v>
      </c>
      <c r="C1124" s="85">
        <v>122</v>
      </c>
      <c r="D1124" s="85">
        <v>119.8</v>
      </c>
      <c r="E1124" s="85">
        <v>121.63</v>
      </c>
      <c r="F1124" s="85">
        <v>4398324</v>
      </c>
      <c r="G1124" s="112">
        <f t="shared" si="34"/>
        <v>2.4943119575292716E-2</v>
      </c>
      <c r="I1124" s="105">
        <v>44252</v>
      </c>
      <c r="J1124" s="85">
        <v>45628.92</v>
      </c>
      <c r="K1124" s="85">
        <v>46007.92</v>
      </c>
      <c r="L1124" s="85">
        <v>45628.92</v>
      </c>
      <c r="M1124" s="85">
        <v>45965.62</v>
      </c>
      <c r="N1124" s="123">
        <v>202337030</v>
      </c>
      <c r="O1124" s="112">
        <f t="shared" si="35"/>
        <v>1.3293776500366672E-2</v>
      </c>
    </row>
    <row r="1125" spans="1:15">
      <c r="A1125" s="105">
        <v>44251</v>
      </c>
      <c r="B1125" s="85">
        <v>117.49</v>
      </c>
      <c r="C1125" s="85">
        <v>119.99</v>
      </c>
      <c r="D1125" s="85">
        <v>116.9</v>
      </c>
      <c r="E1125" s="85">
        <v>118.67</v>
      </c>
      <c r="F1125" s="85">
        <v>3034974</v>
      </c>
      <c r="G1125" s="112">
        <f t="shared" si="34"/>
        <v>1.5141146278870865E-2</v>
      </c>
      <c r="I1125" s="105">
        <v>44251</v>
      </c>
      <c r="J1125" s="85">
        <v>45782.97</v>
      </c>
      <c r="K1125" s="85">
        <v>45887.82</v>
      </c>
      <c r="L1125" s="85">
        <v>45205.48</v>
      </c>
      <c r="M1125" s="85">
        <v>45362.58</v>
      </c>
      <c r="N1125" s="123">
        <v>280817029</v>
      </c>
      <c r="O1125" s="112">
        <f t="shared" si="35"/>
        <v>-8.0074351474728189E-3</v>
      </c>
    </row>
    <row r="1126" spans="1:15">
      <c r="A1126" s="105">
        <v>44250</v>
      </c>
      <c r="B1126" s="85">
        <v>120</v>
      </c>
      <c r="C1126" s="85">
        <v>120.97</v>
      </c>
      <c r="D1126" s="85">
        <v>116.4</v>
      </c>
      <c r="E1126" s="85">
        <v>116.9</v>
      </c>
      <c r="F1126" s="85">
        <v>2719702</v>
      </c>
      <c r="G1126" s="112">
        <f t="shared" si="34"/>
        <v>-2.1347844286312201E-2</v>
      </c>
      <c r="I1126" s="105">
        <v>44250</v>
      </c>
      <c r="J1126" s="85">
        <v>46005.27</v>
      </c>
      <c r="K1126" s="85">
        <v>46085.33</v>
      </c>
      <c r="L1126" s="85">
        <v>45659.23</v>
      </c>
      <c r="M1126" s="85">
        <v>45728.75</v>
      </c>
      <c r="N1126" s="123">
        <v>256327171</v>
      </c>
      <c r="O1126" s="112">
        <f t="shared" si="35"/>
        <v>-3.5147060233550187E-3</v>
      </c>
    </row>
    <row r="1127" spans="1:15">
      <c r="A1127" s="105">
        <v>44249</v>
      </c>
      <c r="B1127" s="85">
        <v>124.49</v>
      </c>
      <c r="C1127" s="85">
        <v>124.49</v>
      </c>
      <c r="D1127" s="85">
        <v>118.1</v>
      </c>
      <c r="E1127" s="85">
        <v>119.45</v>
      </c>
      <c r="F1127" s="85">
        <v>3485611</v>
      </c>
      <c r="G1127" s="112">
        <f t="shared" si="34"/>
        <v>-3.5137318255250349E-2</v>
      </c>
      <c r="I1127" s="105">
        <v>44249</v>
      </c>
      <c r="J1127" s="85">
        <v>46339.8</v>
      </c>
      <c r="K1127" s="85">
        <v>46407.47</v>
      </c>
      <c r="L1127" s="85">
        <v>45762.07</v>
      </c>
      <c r="M1127" s="85">
        <v>45890.04</v>
      </c>
      <c r="N1127" s="123">
        <v>292157028</v>
      </c>
      <c r="O1127" s="112">
        <f t="shared" si="35"/>
        <v>-7.3032049000977262E-3</v>
      </c>
    </row>
    <row r="1128" spans="1:15">
      <c r="A1128" s="105">
        <v>44246</v>
      </c>
      <c r="B1128" s="85">
        <v>125.49</v>
      </c>
      <c r="C1128" s="85">
        <v>126.97</v>
      </c>
      <c r="D1128" s="85">
        <v>123</v>
      </c>
      <c r="E1128" s="85">
        <v>123.8</v>
      </c>
      <c r="F1128" s="85">
        <v>1730848</v>
      </c>
      <c r="G1128" s="112">
        <f t="shared" si="34"/>
        <v>-8.7276803587157392E-3</v>
      </c>
      <c r="I1128" s="105">
        <v>44246</v>
      </c>
      <c r="J1128" s="85">
        <v>46165.21</v>
      </c>
      <c r="K1128" s="85">
        <v>46378.400000000001</v>
      </c>
      <c r="L1128" s="85">
        <v>46137.2</v>
      </c>
      <c r="M1128" s="85">
        <v>46227.65</v>
      </c>
      <c r="N1128" s="123">
        <v>312314392</v>
      </c>
      <c r="O1128" s="112">
        <f t="shared" si="35"/>
        <v>1.8401594703738589E-3</v>
      </c>
    </row>
    <row r="1129" spans="1:15">
      <c r="A1129" s="105">
        <v>44245</v>
      </c>
      <c r="B1129" s="85">
        <v>130.99</v>
      </c>
      <c r="C1129" s="85">
        <v>131</v>
      </c>
      <c r="D1129" s="85">
        <v>123.16</v>
      </c>
      <c r="E1129" s="85">
        <v>124.89</v>
      </c>
      <c r="F1129" s="85">
        <v>3057167</v>
      </c>
      <c r="G1129" s="112">
        <f t="shared" si="34"/>
        <v>-4.122524182404419E-2</v>
      </c>
      <c r="I1129" s="105">
        <v>44245</v>
      </c>
      <c r="J1129" s="85">
        <v>46805.760000000002</v>
      </c>
      <c r="K1129" s="85">
        <v>46817.51</v>
      </c>
      <c r="L1129" s="85">
        <v>46120.53</v>
      </c>
      <c r="M1129" s="85">
        <v>46142.74</v>
      </c>
      <c r="N1129" s="123">
        <v>207943586</v>
      </c>
      <c r="O1129" s="112">
        <f t="shared" si="35"/>
        <v>-1.3372351348589051E-2</v>
      </c>
    </row>
    <row r="1130" spans="1:15">
      <c r="A1130" s="105">
        <v>44244</v>
      </c>
      <c r="B1130" s="85">
        <v>139.01</v>
      </c>
      <c r="C1130" s="85">
        <v>140.24</v>
      </c>
      <c r="D1130" s="85">
        <v>129.05000000000001</v>
      </c>
      <c r="E1130" s="85">
        <v>130.26</v>
      </c>
      <c r="F1130" s="85">
        <v>6616307</v>
      </c>
      <c r="G1130" s="112">
        <f t="shared" si="34"/>
        <v>-5.5813279211365696E-2</v>
      </c>
      <c r="I1130" s="105">
        <v>44244</v>
      </c>
      <c r="J1130" s="85">
        <v>46925.46</v>
      </c>
      <c r="K1130" s="85">
        <v>47305.86</v>
      </c>
      <c r="L1130" s="85">
        <v>46726.21</v>
      </c>
      <c r="M1130" s="85">
        <v>46768.14</v>
      </c>
      <c r="N1130" s="123">
        <v>223532677</v>
      </c>
      <c r="O1130" s="112">
        <f t="shared" si="35"/>
        <v>-2.1296002918838042E-3</v>
      </c>
    </row>
    <row r="1131" spans="1:15">
      <c r="A1131" s="105">
        <v>44243</v>
      </c>
      <c r="B1131" s="85">
        <v>136</v>
      </c>
      <c r="C1131" s="85">
        <v>138.5</v>
      </c>
      <c r="D1131" s="85">
        <v>134.55000000000001</v>
      </c>
      <c r="E1131" s="85">
        <v>137.96</v>
      </c>
      <c r="F1131" s="85">
        <v>1746791</v>
      </c>
      <c r="G1131" s="112">
        <f t="shared" si="34"/>
        <v>2.2759285343613378E-2</v>
      </c>
      <c r="I1131" s="105">
        <v>44243</v>
      </c>
      <c r="J1131" s="85">
        <v>46445.55</v>
      </c>
      <c r="K1131" s="85">
        <v>46884.53</v>
      </c>
      <c r="L1131" s="85">
        <v>46445.55</v>
      </c>
      <c r="M1131" s="85">
        <v>46867.95</v>
      </c>
      <c r="N1131" s="123">
        <v>224787946</v>
      </c>
      <c r="O1131" s="112">
        <f t="shared" si="35"/>
        <v>1.0616792152940757E-2</v>
      </c>
    </row>
    <row r="1132" spans="1:15">
      <c r="A1132" s="105">
        <v>44242</v>
      </c>
      <c r="B1132" s="85">
        <v>134.5</v>
      </c>
      <c r="C1132" s="85">
        <v>136.25</v>
      </c>
      <c r="D1132" s="85">
        <v>133.49</v>
      </c>
      <c r="E1132" s="85">
        <v>134.88999999999999</v>
      </c>
      <c r="F1132" s="85">
        <v>1051682</v>
      </c>
      <c r="G1132" s="112">
        <f t="shared" si="34"/>
        <v>1.0487676979548777E-2</v>
      </c>
      <c r="I1132" s="105">
        <v>44242</v>
      </c>
      <c r="J1132" s="85">
        <v>46098.74</v>
      </c>
      <c r="K1132" s="85">
        <v>46507.42</v>
      </c>
      <c r="L1132" s="85">
        <v>46098.74</v>
      </c>
      <c r="M1132" s="85">
        <v>46375.59</v>
      </c>
      <c r="N1132" s="123">
        <v>249081852</v>
      </c>
      <c r="O1132" s="112">
        <f t="shared" si="35"/>
        <v>1.2382674254219017E-2</v>
      </c>
    </row>
    <row r="1133" spans="1:15">
      <c r="A1133" s="105">
        <v>44239</v>
      </c>
      <c r="B1133" s="85">
        <v>134.80000000000001</v>
      </c>
      <c r="C1133" s="85">
        <v>135.75</v>
      </c>
      <c r="D1133" s="85">
        <v>132.51</v>
      </c>
      <c r="E1133" s="85">
        <v>133.49</v>
      </c>
      <c r="F1133" s="85">
        <v>1325373</v>
      </c>
      <c r="G1133" s="112">
        <f t="shared" si="34"/>
        <v>-9.2771263173518914E-3</v>
      </c>
      <c r="I1133" s="105">
        <v>44239</v>
      </c>
      <c r="J1133" s="85">
        <v>46067.08</v>
      </c>
      <c r="K1133" s="85">
        <v>46358.73</v>
      </c>
      <c r="L1133" s="85">
        <v>45728.62</v>
      </c>
      <c r="M1133" s="85">
        <v>45808.36</v>
      </c>
      <c r="N1133" s="123">
        <v>199656469</v>
      </c>
      <c r="O1133" s="112">
        <f t="shared" si="35"/>
        <v>-5.3665662661065427E-3</v>
      </c>
    </row>
    <row r="1134" spans="1:15">
      <c r="A1134" s="105">
        <v>44238</v>
      </c>
      <c r="B1134" s="85">
        <v>137.1</v>
      </c>
      <c r="C1134" s="85">
        <v>139</v>
      </c>
      <c r="D1134" s="85">
        <v>134</v>
      </c>
      <c r="E1134" s="85">
        <v>134.74</v>
      </c>
      <c r="F1134" s="85">
        <v>3598119</v>
      </c>
      <c r="G1134" s="112">
        <f t="shared" si="34"/>
        <v>-1.6496350364963441E-2</v>
      </c>
      <c r="I1134" s="105">
        <v>44238</v>
      </c>
      <c r="J1134" s="85">
        <v>46720.01</v>
      </c>
      <c r="K1134" s="85">
        <v>46937.45</v>
      </c>
      <c r="L1134" s="85">
        <v>45960.44</v>
      </c>
      <c r="M1134" s="85">
        <v>46055.519999999997</v>
      </c>
      <c r="N1134" s="123">
        <v>366026585</v>
      </c>
      <c r="O1134" s="112">
        <f t="shared" si="35"/>
        <v>-1.2622552513930518E-2</v>
      </c>
    </row>
    <row r="1135" spans="1:15">
      <c r="A1135" s="105">
        <v>44237</v>
      </c>
      <c r="B1135" s="85">
        <v>136.58000000000001</v>
      </c>
      <c r="C1135" s="85">
        <v>138.6</v>
      </c>
      <c r="D1135" s="85">
        <v>135.5</v>
      </c>
      <c r="E1135" s="85">
        <v>137</v>
      </c>
      <c r="F1135" s="85">
        <v>1918073</v>
      </c>
      <c r="G1135" s="112">
        <f t="shared" si="34"/>
        <v>3.0751208083172887E-3</v>
      </c>
      <c r="I1135" s="105">
        <v>44237</v>
      </c>
      <c r="J1135" s="85">
        <v>46653.760000000002</v>
      </c>
      <c r="K1135" s="85">
        <v>46846.78</v>
      </c>
      <c r="L1135" s="85">
        <v>46341.760000000002</v>
      </c>
      <c r="M1135" s="85">
        <v>46644.29</v>
      </c>
      <c r="N1135" s="123">
        <v>314398230</v>
      </c>
      <c r="O1135" s="112">
        <f t="shared" si="35"/>
        <v>-6.5302946324097277E-4</v>
      </c>
    </row>
    <row r="1136" spans="1:15">
      <c r="A1136" s="105">
        <v>44236</v>
      </c>
      <c r="B1136" s="85">
        <v>138.69999999999999</v>
      </c>
      <c r="C1136" s="85">
        <v>139</v>
      </c>
      <c r="D1136" s="85">
        <v>135.99</v>
      </c>
      <c r="E1136" s="85">
        <v>136.58000000000001</v>
      </c>
      <c r="F1136" s="85">
        <v>1342598</v>
      </c>
      <c r="G1136" s="112">
        <f t="shared" si="34"/>
        <v>-1.1149724876918565E-2</v>
      </c>
      <c r="I1136" s="105">
        <v>44236</v>
      </c>
      <c r="J1136" s="85">
        <v>46888.41</v>
      </c>
      <c r="K1136" s="85">
        <v>46991.87</v>
      </c>
      <c r="L1136" s="85">
        <v>46628.97</v>
      </c>
      <c r="M1136" s="85">
        <v>46674.77</v>
      </c>
      <c r="N1136" s="123">
        <v>278819109</v>
      </c>
      <c r="O1136" s="112">
        <f t="shared" si="35"/>
        <v>-1.0080932120226649E-3</v>
      </c>
    </row>
    <row r="1137" spans="1:15">
      <c r="A1137" s="105">
        <v>44235</v>
      </c>
      <c r="B1137" s="85">
        <v>139.94999999999999</v>
      </c>
      <c r="C1137" s="85">
        <v>140</v>
      </c>
      <c r="D1137" s="85">
        <v>137.69999999999999</v>
      </c>
      <c r="E1137" s="85">
        <v>138.12</v>
      </c>
      <c r="F1137" s="85">
        <v>1416273</v>
      </c>
      <c r="G1137" s="112">
        <f t="shared" si="34"/>
        <v>-9.2532816871099266E-3</v>
      </c>
      <c r="I1137" s="105">
        <v>44235</v>
      </c>
      <c r="J1137" s="85">
        <v>47013.02</v>
      </c>
      <c r="K1137" s="85">
        <v>47074.16</v>
      </c>
      <c r="L1137" s="85">
        <v>46659.21</v>
      </c>
      <c r="M1137" s="85">
        <v>46721.87</v>
      </c>
      <c r="N1137" s="123">
        <v>189859902</v>
      </c>
      <c r="O1137" s="112">
        <f t="shared" si="35"/>
        <v>-3.9210511111741342E-3</v>
      </c>
    </row>
    <row r="1138" spans="1:15">
      <c r="A1138" s="105">
        <v>44231</v>
      </c>
      <c r="B1138" s="85">
        <v>140.01</v>
      </c>
      <c r="C1138" s="85">
        <v>141.5</v>
      </c>
      <c r="D1138" s="85">
        <v>139</v>
      </c>
      <c r="E1138" s="85">
        <v>139.41</v>
      </c>
      <c r="F1138" s="85">
        <v>914415</v>
      </c>
      <c r="G1138" s="112">
        <f t="shared" si="34"/>
        <v>-4.8540224141623289E-3</v>
      </c>
      <c r="I1138" s="105">
        <v>44231</v>
      </c>
      <c r="J1138" s="85">
        <v>47136.09</v>
      </c>
      <c r="K1138" s="85">
        <v>47341.58</v>
      </c>
      <c r="L1138" s="85">
        <v>46743.13</v>
      </c>
      <c r="M1138" s="85">
        <v>46905.79</v>
      </c>
      <c r="N1138" s="123">
        <v>238322754</v>
      </c>
      <c r="O1138" s="112">
        <f t="shared" si="35"/>
        <v>-5.9317806868963707E-4</v>
      </c>
    </row>
    <row r="1139" spans="1:15">
      <c r="A1139" s="105">
        <v>44230</v>
      </c>
      <c r="B1139" s="85">
        <v>140.58000000000001</v>
      </c>
      <c r="C1139" s="85">
        <v>141.01</v>
      </c>
      <c r="D1139" s="85">
        <v>139.5</v>
      </c>
      <c r="E1139" s="85">
        <v>140.09</v>
      </c>
      <c r="F1139" s="85">
        <v>2337796</v>
      </c>
      <c r="G1139" s="112">
        <f t="shared" si="34"/>
        <v>6.4285714285716722E-4</v>
      </c>
      <c r="I1139" s="105">
        <v>44230</v>
      </c>
      <c r="J1139" s="85">
        <v>46743.14</v>
      </c>
      <c r="K1139" s="85">
        <v>47124.02</v>
      </c>
      <c r="L1139" s="85">
        <v>46743.14</v>
      </c>
      <c r="M1139" s="85">
        <v>46933.63</v>
      </c>
      <c r="N1139" s="123">
        <v>324703577</v>
      </c>
      <c r="O1139" s="112">
        <f t="shared" si="35"/>
        <v>7.5845302975461326E-3</v>
      </c>
    </row>
    <row r="1140" spans="1:15">
      <c r="A1140" s="105">
        <v>44229</v>
      </c>
      <c r="B1140" s="85">
        <v>141.5</v>
      </c>
      <c r="C1140" s="85">
        <v>141.5</v>
      </c>
      <c r="D1140" s="85">
        <v>139.69999999999999</v>
      </c>
      <c r="E1140" s="85">
        <v>140</v>
      </c>
      <c r="F1140" s="85">
        <v>1180813</v>
      </c>
      <c r="G1140" s="112">
        <f t="shared" si="34"/>
        <v>-8.8495575221239076E-3</v>
      </c>
      <c r="I1140" s="105">
        <v>44229</v>
      </c>
      <c r="J1140" s="85">
        <v>46430.5</v>
      </c>
      <c r="K1140" s="85">
        <v>46643.85</v>
      </c>
      <c r="L1140" s="85">
        <v>46260.94</v>
      </c>
      <c r="M1140" s="85">
        <v>46580.34</v>
      </c>
      <c r="N1140" s="123">
        <v>266310676</v>
      </c>
      <c r="O1140" s="112">
        <f t="shared" si="35"/>
        <v>7.1762405010329378E-3</v>
      </c>
    </row>
    <row r="1141" spans="1:15">
      <c r="A1141" s="105">
        <v>44228</v>
      </c>
      <c r="B1141" s="85">
        <v>142.47</v>
      </c>
      <c r="C1141" s="85">
        <v>142.69</v>
      </c>
      <c r="D1141" s="85">
        <v>140.9</v>
      </c>
      <c r="E1141" s="85">
        <v>141.25</v>
      </c>
      <c r="F1141" s="85">
        <v>1750088</v>
      </c>
      <c r="G1141" s="112">
        <f t="shared" si="34"/>
        <v>-6.5410043606696222E-3</v>
      </c>
      <c r="I1141" s="105">
        <v>44228</v>
      </c>
      <c r="J1141" s="85">
        <v>46539.24</v>
      </c>
      <c r="K1141" s="85">
        <v>46762.64</v>
      </c>
      <c r="L1141" s="85">
        <v>46188.25</v>
      </c>
      <c r="M1141" s="85">
        <v>46248.45</v>
      </c>
      <c r="N1141" s="123">
        <v>375686085</v>
      </c>
      <c r="O1141" s="112">
        <f t="shared" si="35"/>
        <v>-2.9554468914235743E-3</v>
      </c>
    </row>
    <row r="1142" spans="1:15">
      <c r="A1142" s="105">
        <v>44225</v>
      </c>
      <c r="B1142" s="85">
        <v>142.97</v>
      </c>
      <c r="C1142" s="85">
        <v>142.97</v>
      </c>
      <c r="D1142" s="85">
        <v>140.55000000000001</v>
      </c>
      <c r="E1142" s="85">
        <v>142.18</v>
      </c>
      <c r="F1142" s="85">
        <v>2026733</v>
      </c>
      <c r="G1142" s="112">
        <f t="shared" si="34"/>
        <v>7.7426620679954539E-4</v>
      </c>
      <c r="I1142" s="105">
        <v>44225</v>
      </c>
      <c r="J1142" s="85">
        <v>46295.23</v>
      </c>
      <c r="K1142" s="85">
        <v>46656.98</v>
      </c>
      <c r="L1142" s="85">
        <v>46265.19</v>
      </c>
      <c r="M1142" s="85">
        <v>46385.54</v>
      </c>
      <c r="N1142" s="123">
        <v>484691738</v>
      </c>
      <c r="O1142" s="112">
        <f t="shared" si="35"/>
        <v>4.7543595347663281E-3</v>
      </c>
    </row>
    <row r="1143" spans="1:15">
      <c r="A1143" s="105">
        <v>44224</v>
      </c>
      <c r="B1143" s="85">
        <v>141.05000000000001</v>
      </c>
      <c r="C1143" s="85">
        <v>144.75</v>
      </c>
      <c r="D1143" s="85">
        <v>140.9</v>
      </c>
      <c r="E1143" s="85">
        <v>142.07</v>
      </c>
      <c r="F1143" s="85">
        <v>2867301</v>
      </c>
      <c r="G1143" s="112">
        <f t="shared" si="34"/>
        <v>7.2314781992199872E-3</v>
      </c>
      <c r="I1143" s="105">
        <v>44224</v>
      </c>
      <c r="J1143" s="85">
        <v>46450.03</v>
      </c>
      <c r="K1143" s="85">
        <v>46646.720000000001</v>
      </c>
      <c r="L1143" s="85">
        <v>46110.92</v>
      </c>
      <c r="M1143" s="85">
        <v>46166.05</v>
      </c>
      <c r="N1143" s="123">
        <v>296475223</v>
      </c>
      <c r="O1143" s="112">
        <f t="shared" si="35"/>
        <v>-6.2869512828001017E-3</v>
      </c>
    </row>
    <row r="1144" spans="1:15">
      <c r="A1144" s="105">
        <v>44223</v>
      </c>
      <c r="B1144" s="85">
        <v>141.77000000000001</v>
      </c>
      <c r="C1144" s="85">
        <v>142</v>
      </c>
      <c r="D1144" s="85">
        <v>140.28</v>
      </c>
      <c r="E1144" s="85">
        <v>141.05000000000001</v>
      </c>
      <c r="F1144" s="85">
        <v>1087696</v>
      </c>
      <c r="G1144" s="112">
        <f t="shared" si="34"/>
        <v>0</v>
      </c>
      <c r="I1144" s="105">
        <v>44223</v>
      </c>
      <c r="J1144" s="85">
        <v>46362.879999999997</v>
      </c>
      <c r="K1144" s="85">
        <v>46698.53</v>
      </c>
      <c r="L1144" s="85">
        <v>46314.99</v>
      </c>
      <c r="M1144" s="85">
        <v>46458.13</v>
      </c>
      <c r="N1144" s="123">
        <v>373945436</v>
      </c>
      <c r="O1144" s="112">
        <f t="shared" si="35"/>
        <v>3.688910454642258E-3</v>
      </c>
    </row>
    <row r="1145" spans="1:15">
      <c r="A1145" s="105">
        <v>44222</v>
      </c>
      <c r="B1145" s="85">
        <v>141.9</v>
      </c>
      <c r="C1145" s="85">
        <v>142.19999999999999</v>
      </c>
      <c r="D1145" s="85">
        <v>140.88</v>
      </c>
      <c r="E1145" s="85">
        <v>141.05000000000001</v>
      </c>
      <c r="F1145" s="85">
        <v>1021215</v>
      </c>
      <c r="G1145" s="112">
        <f t="shared" si="34"/>
        <v>-3.3915071009679165E-3</v>
      </c>
      <c r="I1145" s="105">
        <v>44222</v>
      </c>
      <c r="J1145" s="85">
        <v>46182.87</v>
      </c>
      <c r="K1145" s="85">
        <v>46398.01</v>
      </c>
      <c r="L1145" s="85">
        <v>46095.8</v>
      </c>
      <c r="M1145" s="85">
        <v>46287.38</v>
      </c>
      <c r="N1145" s="123">
        <v>341573515</v>
      </c>
      <c r="O1145" s="112">
        <f t="shared" si="35"/>
        <v>4.3339168592706478E-3</v>
      </c>
    </row>
    <row r="1146" spans="1:15">
      <c r="A1146" s="105">
        <v>44221</v>
      </c>
      <c r="B1146" s="85">
        <v>143</v>
      </c>
      <c r="C1146" s="85">
        <v>143.49</v>
      </c>
      <c r="D1146" s="85">
        <v>141.01</v>
      </c>
      <c r="E1146" s="85">
        <v>141.53</v>
      </c>
      <c r="F1146" s="85">
        <v>1214394</v>
      </c>
      <c r="G1146" s="112">
        <f t="shared" si="34"/>
        <v>-1.0141278500489515E-2</v>
      </c>
      <c r="I1146" s="105">
        <v>44221</v>
      </c>
      <c r="J1146" s="85">
        <v>45983.62</v>
      </c>
      <c r="K1146" s="85">
        <v>46189.43</v>
      </c>
      <c r="L1146" s="85">
        <v>45983.62</v>
      </c>
      <c r="M1146" s="85">
        <v>46087.64</v>
      </c>
      <c r="N1146" s="123">
        <v>258299827</v>
      </c>
      <c r="O1146" s="112">
        <f t="shared" si="35"/>
        <v>4.787647346605528E-3</v>
      </c>
    </row>
    <row r="1147" spans="1:15">
      <c r="A1147" s="105">
        <v>44218</v>
      </c>
      <c r="B1147" s="85">
        <v>142.55000000000001</v>
      </c>
      <c r="C1147" s="85">
        <v>143.49</v>
      </c>
      <c r="D1147" s="85">
        <v>141.81</v>
      </c>
      <c r="E1147" s="85">
        <v>142.97999999999999</v>
      </c>
      <c r="F1147" s="85">
        <v>2087135</v>
      </c>
      <c r="G1147" s="112">
        <f t="shared" si="34"/>
        <v>1.1903928296337352E-3</v>
      </c>
      <c r="I1147" s="105">
        <v>44218</v>
      </c>
      <c r="J1147" s="85">
        <v>45993.23</v>
      </c>
      <c r="K1147" s="85">
        <v>46116.85</v>
      </c>
      <c r="L1147" s="85">
        <v>45690.5</v>
      </c>
      <c r="M1147" s="85">
        <v>45868.04</v>
      </c>
      <c r="N1147" s="123">
        <v>236248570</v>
      </c>
      <c r="O1147" s="112">
        <f t="shared" si="35"/>
        <v>-2.5317248479159726E-3</v>
      </c>
    </row>
    <row r="1148" spans="1:15">
      <c r="A1148" s="105">
        <v>44217</v>
      </c>
      <c r="B1148" s="85">
        <v>141.54</v>
      </c>
      <c r="C1148" s="85">
        <v>143.5</v>
      </c>
      <c r="D1148" s="85">
        <v>140.5</v>
      </c>
      <c r="E1148" s="85">
        <v>142.81</v>
      </c>
      <c r="F1148" s="85">
        <v>1571769</v>
      </c>
      <c r="G1148" s="112">
        <f t="shared" si="34"/>
        <v>8.9727285572984705E-3</v>
      </c>
      <c r="I1148" s="105">
        <v>44217</v>
      </c>
      <c r="J1148" s="85">
        <v>45697.24</v>
      </c>
      <c r="K1148" s="85">
        <v>46143.53</v>
      </c>
      <c r="L1148" s="85">
        <v>45695.89</v>
      </c>
      <c r="M1148" s="85">
        <v>45984.46</v>
      </c>
      <c r="N1148" s="123">
        <v>333345007</v>
      </c>
      <c r="O1148" s="112">
        <f t="shared" si="35"/>
        <v>6.7325000317446371E-3</v>
      </c>
    </row>
    <row r="1149" spans="1:15">
      <c r="A1149" s="105">
        <v>44216</v>
      </c>
      <c r="B1149" s="85">
        <v>139</v>
      </c>
      <c r="C1149" s="85">
        <v>141.94999999999999</v>
      </c>
      <c r="D1149" s="85">
        <v>138.25</v>
      </c>
      <c r="E1149" s="85">
        <v>141.54</v>
      </c>
      <c r="F1149" s="85">
        <v>4047339</v>
      </c>
      <c r="G1149" s="112">
        <f t="shared" si="34"/>
        <v>1.4987450699175398E-2</v>
      </c>
      <c r="I1149" s="105">
        <v>44216</v>
      </c>
      <c r="J1149" s="85">
        <v>45862.7</v>
      </c>
      <c r="K1149" s="85">
        <v>45862.7</v>
      </c>
      <c r="L1149" s="85">
        <v>45545.43</v>
      </c>
      <c r="M1149" s="85">
        <v>45676.94</v>
      </c>
      <c r="N1149" s="123">
        <v>219022358</v>
      </c>
      <c r="O1149" s="112">
        <f t="shared" si="35"/>
        <v>-4.9297184533637628E-3</v>
      </c>
    </row>
    <row r="1150" spans="1:15">
      <c r="A1150" s="105">
        <v>44215</v>
      </c>
      <c r="B1150" s="85">
        <v>140.1</v>
      </c>
      <c r="C1150" s="85">
        <v>141.16</v>
      </c>
      <c r="D1150" s="85">
        <v>138.5</v>
      </c>
      <c r="E1150" s="85">
        <v>139.44999999999999</v>
      </c>
      <c r="F1150" s="85">
        <v>1994573</v>
      </c>
      <c r="G1150" s="112">
        <f t="shared" si="34"/>
        <v>-1.0852603206128575E-2</v>
      </c>
      <c r="I1150" s="105">
        <v>44215</v>
      </c>
      <c r="J1150" s="85">
        <v>45750.92</v>
      </c>
      <c r="K1150" s="85">
        <v>45982.77</v>
      </c>
      <c r="L1150" s="85">
        <v>45596.69</v>
      </c>
      <c r="M1150" s="85">
        <v>45903.23</v>
      </c>
      <c r="N1150" s="123">
        <v>224057124</v>
      </c>
      <c r="O1150" s="112">
        <f t="shared" si="35"/>
        <v>3.8609844405936844E-3</v>
      </c>
    </row>
    <row r="1151" spans="1:15">
      <c r="A1151" s="105">
        <v>44214</v>
      </c>
      <c r="B1151" s="85">
        <v>141.15</v>
      </c>
      <c r="C1151" s="85">
        <v>142.25</v>
      </c>
      <c r="D1151" s="85">
        <v>140.1</v>
      </c>
      <c r="E1151" s="85">
        <v>140.97999999999999</v>
      </c>
      <c r="F1151" s="85">
        <v>1681485</v>
      </c>
      <c r="G1151" s="112">
        <f t="shared" si="34"/>
        <v>-3.6749116607774912E-3</v>
      </c>
      <c r="I1151" s="105">
        <v>44214</v>
      </c>
      <c r="J1151" s="85">
        <v>45950.46</v>
      </c>
      <c r="K1151" s="85">
        <v>46066.48</v>
      </c>
      <c r="L1151" s="85">
        <v>45712.07</v>
      </c>
      <c r="M1151" s="85">
        <v>45726.68</v>
      </c>
      <c r="N1151" s="123">
        <v>285141893</v>
      </c>
      <c r="O1151" s="112">
        <f t="shared" si="35"/>
        <v>-4.4484117480568797E-3</v>
      </c>
    </row>
    <row r="1152" spans="1:15">
      <c r="A1152" s="105">
        <v>44211</v>
      </c>
      <c r="B1152" s="85">
        <v>143.44</v>
      </c>
      <c r="C1152" s="85">
        <v>143.44</v>
      </c>
      <c r="D1152" s="85">
        <v>141.15</v>
      </c>
      <c r="E1152" s="85">
        <v>141.5</v>
      </c>
      <c r="F1152" s="85">
        <v>919892</v>
      </c>
      <c r="G1152" s="112">
        <f t="shared" si="34"/>
        <v>-8.3397575162940107E-3</v>
      </c>
      <c r="I1152" s="105">
        <v>44211</v>
      </c>
      <c r="J1152" s="85">
        <v>46080.85</v>
      </c>
      <c r="K1152" s="85">
        <v>46177.38</v>
      </c>
      <c r="L1152" s="85">
        <v>45873.08</v>
      </c>
      <c r="M1152" s="85">
        <v>45931</v>
      </c>
      <c r="N1152" s="123">
        <v>221928753</v>
      </c>
      <c r="O1152" s="112">
        <f t="shared" si="35"/>
        <v>-1.268772009171637E-3</v>
      </c>
    </row>
    <row r="1153" spans="1:15">
      <c r="A1153" s="105">
        <v>44210</v>
      </c>
      <c r="B1153" s="85">
        <v>143.97999999999999</v>
      </c>
      <c r="C1153" s="85">
        <v>144.5</v>
      </c>
      <c r="D1153" s="85">
        <v>141.5</v>
      </c>
      <c r="E1153" s="85">
        <v>142.69</v>
      </c>
      <c r="F1153" s="85">
        <v>1583524</v>
      </c>
      <c r="G1153" s="112">
        <f t="shared" si="34"/>
        <v>-3.5614525139664455E-3</v>
      </c>
      <c r="I1153" s="105">
        <v>44210</v>
      </c>
      <c r="J1153" s="85">
        <v>46150.45</v>
      </c>
      <c r="K1153" s="85">
        <v>46272.58</v>
      </c>
      <c r="L1153" s="85">
        <v>45852.83</v>
      </c>
      <c r="M1153" s="85">
        <v>45989.35</v>
      </c>
      <c r="N1153" s="123">
        <v>286401278</v>
      </c>
      <c r="O1153" s="112">
        <f t="shared" si="35"/>
        <v>-2.2262017063279238E-3</v>
      </c>
    </row>
    <row r="1154" spans="1:15">
      <c r="A1154" s="105">
        <v>44209</v>
      </c>
      <c r="B1154" s="85">
        <v>142.9</v>
      </c>
      <c r="C1154" s="85">
        <v>144.80000000000001</v>
      </c>
      <c r="D1154" s="85">
        <v>142.02000000000001</v>
      </c>
      <c r="E1154" s="85">
        <v>143.19999999999999</v>
      </c>
      <c r="F1154" s="85">
        <v>3403879</v>
      </c>
      <c r="G1154" s="112">
        <f t="shared" si="34"/>
        <v>8.3086889170538303E-3</v>
      </c>
      <c r="I1154" s="105">
        <v>44209</v>
      </c>
      <c r="J1154" s="85">
        <v>46185.65</v>
      </c>
      <c r="K1154" s="85">
        <v>46316.33</v>
      </c>
      <c r="L1154" s="85">
        <v>46058.12</v>
      </c>
      <c r="M1154" s="85">
        <v>46091.96</v>
      </c>
      <c r="N1154" s="123">
        <v>466266888</v>
      </c>
      <c r="O1154" s="112">
        <f t="shared" si="35"/>
        <v>3.7001840510568762E-3</v>
      </c>
    </row>
    <row r="1155" spans="1:15">
      <c r="A1155" s="105">
        <v>44208</v>
      </c>
      <c r="B1155" s="85">
        <v>140.97999999999999</v>
      </c>
      <c r="C1155" s="85">
        <v>143.19999999999999</v>
      </c>
      <c r="D1155" s="85">
        <v>140</v>
      </c>
      <c r="E1155" s="85">
        <v>142.02000000000001</v>
      </c>
      <c r="F1155" s="85">
        <v>3965401</v>
      </c>
      <c r="G1155" s="112">
        <f t="shared" si="34"/>
        <v>1.4645995570479409E-2</v>
      </c>
      <c r="I1155" s="105">
        <v>44208</v>
      </c>
      <c r="J1155" s="85">
        <v>45707.7</v>
      </c>
      <c r="K1155" s="85">
        <v>46013.36</v>
      </c>
      <c r="L1155" s="85">
        <v>45701.279999999999</v>
      </c>
      <c r="M1155" s="85">
        <v>45922.04</v>
      </c>
      <c r="N1155" s="123">
        <v>506698986</v>
      </c>
      <c r="O1155" s="112">
        <f t="shared" si="35"/>
        <v>6.9425958581239566E-3</v>
      </c>
    </row>
    <row r="1156" spans="1:15">
      <c r="A1156" s="105">
        <v>44207</v>
      </c>
      <c r="B1156" s="85">
        <v>141.5</v>
      </c>
      <c r="C1156" s="85">
        <v>141.9</v>
      </c>
      <c r="D1156" s="85">
        <v>138.9</v>
      </c>
      <c r="E1156" s="85">
        <v>139.97</v>
      </c>
      <c r="F1156" s="85">
        <v>3562029</v>
      </c>
      <c r="G1156" s="112">
        <f t="shared" ref="G1156:G1219" si="36">E1156/E1157-1</f>
        <v>-1.0705109905795318E-3</v>
      </c>
      <c r="I1156" s="105">
        <v>44207</v>
      </c>
      <c r="J1156" s="85">
        <v>45962.94</v>
      </c>
      <c r="K1156" s="85">
        <v>46108.97</v>
      </c>
      <c r="L1156" s="85">
        <v>45527.34</v>
      </c>
      <c r="M1156" s="85">
        <v>45605.42</v>
      </c>
      <c r="N1156" s="123">
        <v>264622365</v>
      </c>
      <c r="O1156" s="112">
        <f t="shared" ref="O1156:O1219" si="37">M1156/M1157-1</f>
        <v>-1.0715301108283892E-3</v>
      </c>
    </row>
    <row r="1157" spans="1:15">
      <c r="A1157" s="105">
        <v>44204</v>
      </c>
      <c r="B1157" s="85">
        <v>139.9</v>
      </c>
      <c r="C1157" s="85">
        <v>142.47999999999999</v>
      </c>
      <c r="D1157" s="85">
        <v>139.6</v>
      </c>
      <c r="E1157" s="85">
        <v>140.12</v>
      </c>
      <c r="F1157" s="85">
        <v>12254568</v>
      </c>
      <c r="G1157" s="112">
        <f t="shared" si="36"/>
        <v>8.9285714285713969E-3</v>
      </c>
      <c r="I1157" s="105">
        <v>44204</v>
      </c>
      <c r="J1157" s="85">
        <v>45515.45</v>
      </c>
      <c r="K1157" s="85">
        <v>45916.33</v>
      </c>
      <c r="L1157" s="85">
        <v>45503.43</v>
      </c>
      <c r="M1157" s="85">
        <v>45654.34</v>
      </c>
      <c r="N1157" s="123">
        <v>457583141</v>
      </c>
      <c r="O1157" s="112">
        <f t="shared" si="37"/>
        <v>6.8321345855530957E-3</v>
      </c>
    </row>
    <row r="1158" spans="1:15">
      <c r="A1158" s="105">
        <v>44203</v>
      </c>
      <c r="B1158" s="85">
        <v>136.84</v>
      </c>
      <c r="C1158" s="85">
        <v>140</v>
      </c>
      <c r="D1158" s="85">
        <v>136.80000000000001</v>
      </c>
      <c r="E1158" s="85">
        <v>138.88</v>
      </c>
      <c r="F1158" s="85">
        <v>11093886</v>
      </c>
      <c r="G1158" s="112">
        <f t="shared" si="36"/>
        <v>1.907836806574692E-2</v>
      </c>
      <c r="I1158" s="105">
        <v>44203</v>
      </c>
      <c r="J1158" s="85">
        <v>45161.11</v>
      </c>
      <c r="K1158" s="85">
        <v>45619.8</v>
      </c>
      <c r="L1158" s="85">
        <v>45153.42</v>
      </c>
      <c r="M1158" s="85">
        <v>45344.54</v>
      </c>
      <c r="N1158" s="123">
        <v>394721233</v>
      </c>
      <c r="O1158" s="112">
        <f t="shared" si="37"/>
        <v>4.2326804924190942E-3</v>
      </c>
    </row>
    <row r="1159" spans="1:15">
      <c r="A1159" s="105">
        <v>44202</v>
      </c>
      <c r="B1159" s="85">
        <v>135</v>
      </c>
      <c r="C1159" s="85">
        <v>137.99</v>
      </c>
      <c r="D1159" s="85">
        <v>134.76</v>
      </c>
      <c r="E1159" s="85">
        <v>136.28</v>
      </c>
      <c r="F1159" s="85">
        <v>4656620</v>
      </c>
      <c r="G1159" s="112">
        <f t="shared" si="36"/>
        <v>9.631056452807929E-3</v>
      </c>
      <c r="I1159" s="105">
        <v>44202</v>
      </c>
      <c r="J1159" s="85">
        <v>44812.38</v>
      </c>
      <c r="K1159" s="85">
        <v>45194.63</v>
      </c>
      <c r="L1159" s="85">
        <v>44812.38</v>
      </c>
      <c r="M1159" s="85">
        <v>45153.42</v>
      </c>
      <c r="N1159" s="123">
        <v>373173822</v>
      </c>
      <c r="O1159" s="112">
        <f t="shared" si="37"/>
        <v>1.1265065084479442E-2</v>
      </c>
    </row>
    <row r="1160" spans="1:15">
      <c r="A1160" s="105">
        <v>44201</v>
      </c>
      <c r="B1160" s="85">
        <v>134</v>
      </c>
      <c r="C1160" s="85">
        <v>136.69999999999999</v>
      </c>
      <c r="D1160" s="85">
        <v>133.1</v>
      </c>
      <c r="E1160" s="85">
        <v>134.97999999999999</v>
      </c>
      <c r="F1160" s="85">
        <v>6373631</v>
      </c>
      <c r="G1160" s="112">
        <f t="shared" si="36"/>
        <v>9.0453763923150632E-3</v>
      </c>
      <c r="I1160" s="105">
        <v>44201</v>
      </c>
      <c r="J1160" s="85">
        <v>44710.89</v>
      </c>
      <c r="K1160" s="85">
        <v>44830.28</v>
      </c>
      <c r="L1160" s="85">
        <v>44458.71</v>
      </c>
      <c r="M1160" s="85">
        <v>44650.43</v>
      </c>
      <c r="N1160" s="123">
        <v>282286985</v>
      </c>
      <c r="O1160" s="112">
        <f t="shared" si="37"/>
        <v>-8.0628449870490115E-4</v>
      </c>
    </row>
    <row r="1161" spans="1:15">
      <c r="A1161" s="105">
        <v>44200</v>
      </c>
      <c r="B1161" s="85">
        <v>134.1</v>
      </c>
      <c r="C1161" s="85">
        <v>135</v>
      </c>
      <c r="D1161" s="85">
        <v>132.30000000000001</v>
      </c>
      <c r="E1161" s="85">
        <v>133.77000000000001</v>
      </c>
      <c r="F1161" s="85">
        <v>3395212</v>
      </c>
      <c r="G1161" s="112">
        <f t="shared" si="36"/>
        <v>4.731861198738363E-3</v>
      </c>
      <c r="I1161" s="105">
        <v>44200</v>
      </c>
      <c r="J1161" s="85">
        <v>44516.23</v>
      </c>
      <c r="K1161" s="85">
        <v>45074.37</v>
      </c>
      <c r="L1161" s="85">
        <v>44493.77</v>
      </c>
      <c r="M1161" s="85">
        <v>44686.46</v>
      </c>
      <c r="N1161" s="123">
        <v>335131019</v>
      </c>
      <c r="O1161" s="112">
        <f t="shared" si="37"/>
        <v>5.6635789966421601E-3</v>
      </c>
    </row>
    <row r="1162" spans="1:15">
      <c r="A1162" s="105">
        <v>44197</v>
      </c>
      <c r="B1162" s="85">
        <v>133.80000000000001</v>
      </c>
      <c r="C1162" s="85">
        <v>135.99</v>
      </c>
      <c r="D1162" s="85">
        <v>132.65</v>
      </c>
      <c r="E1162" s="85">
        <v>133.13999999999999</v>
      </c>
      <c r="F1162" s="85">
        <v>5691473</v>
      </c>
      <c r="G1162" s="112">
        <f t="shared" si="36"/>
        <v>6.5013607499242454E-3</v>
      </c>
      <c r="I1162" s="105">
        <v>44197</v>
      </c>
      <c r="J1162" s="85">
        <v>43922.879999999997</v>
      </c>
      <c r="K1162" s="85">
        <v>44874.86</v>
      </c>
      <c r="L1162" s="85">
        <v>43851.71</v>
      </c>
      <c r="M1162" s="85">
        <v>44434.8</v>
      </c>
      <c r="N1162" s="123">
        <v>386326077</v>
      </c>
      <c r="O1162" s="112">
        <f t="shared" si="37"/>
        <v>1.5527690537712191E-2</v>
      </c>
    </row>
    <row r="1163" spans="1:15">
      <c r="A1163" s="105">
        <v>44196</v>
      </c>
      <c r="B1163" s="85">
        <v>132.5</v>
      </c>
      <c r="C1163" s="85">
        <v>133</v>
      </c>
      <c r="D1163" s="85">
        <v>132</v>
      </c>
      <c r="E1163" s="85">
        <v>132.28</v>
      </c>
      <c r="F1163" s="85">
        <v>726478</v>
      </c>
      <c r="G1163" s="112">
        <f t="shared" si="36"/>
        <v>-1.9616719480910483E-3</v>
      </c>
      <c r="I1163" s="105">
        <v>44196</v>
      </c>
      <c r="J1163" s="85">
        <v>43814.47</v>
      </c>
      <c r="K1163" s="85">
        <v>43891.06</v>
      </c>
      <c r="L1163" s="85">
        <v>43665.93</v>
      </c>
      <c r="M1163" s="85">
        <v>43755.38</v>
      </c>
      <c r="N1163" s="123">
        <v>320622978</v>
      </c>
      <c r="O1163" s="112">
        <f t="shared" si="37"/>
        <v>1.3873517099074473E-3</v>
      </c>
    </row>
    <row r="1164" spans="1:15">
      <c r="A1164" s="105">
        <v>44195</v>
      </c>
      <c r="B1164" s="85">
        <v>131.69</v>
      </c>
      <c r="C1164" s="85">
        <v>134.5</v>
      </c>
      <c r="D1164" s="85">
        <v>131.69</v>
      </c>
      <c r="E1164" s="85">
        <v>132.54</v>
      </c>
      <c r="F1164" s="85">
        <v>3765696</v>
      </c>
      <c r="G1164" s="112">
        <f t="shared" si="36"/>
        <v>6.4545523578098951E-3</v>
      </c>
      <c r="I1164" s="105">
        <v>44195</v>
      </c>
      <c r="J1164" s="85">
        <v>43323.15</v>
      </c>
      <c r="K1164" s="85">
        <v>43750.25</v>
      </c>
      <c r="L1164" s="85">
        <v>43323.15</v>
      </c>
      <c r="M1164" s="85">
        <v>43694.76</v>
      </c>
      <c r="N1164" s="123">
        <v>227301619</v>
      </c>
      <c r="O1164" s="112">
        <f t="shared" si="37"/>
        <v>9.530230276739271E-3</v>
      </c>
    </row>
    <row r="1165" spans="1:15">
      <c r="A1165" s="105">
        <v>44194</v>
      </c>
      <c r="B1165" s="85">
        <v>135.06</v>
      </c>
      <c r="C1165" s="85">
        <v>135.49</v>
      </c>
      <c r="D1165" s="85">
        <v>130.85</v>
      </c>
      <c r="E1165" s="85">
        <v>131.69</v>
      </c>
      <c r="F1165" s="85">
        <v>3076521</v>
      </c>
      <c r="G1165" s="112">
        <f t="shared" si="36"/>
        <v>-2.2708719851576964E-2</v>
      </c>
      <c r="I1165" s="105">
        <v>44194</v>
      </c>
      <c r="J1165" s="85">
        <v>43790.1</v>
      </c>
      <c r="K1165" s="85">
        <v>43912.1</v>
      </c>
      <c r="L1165" s="85">
        <v>43203.68</v>
      </c>
      <c r="M1165" s="85">
        <v>43282.27</v>
      </c>
      <c r="N1165" s="123">
        <v>297891645</v>
      </c>
      <c r="O1165" s="112">
        <f t="shared" si="37"/>
        <v>-8.9757633096642087E-3</v>
      </c>
    </row>
    <row r="1166" spans="1:15">
      <c r="A1166" s="105">
        <v>44193</v>
      </c>
      <c r="B1166" s="85">
        <v>135.68</v>
      </c>
      <c r="C1166" s="85">
        <v>136</v>
      </c>
      <c r="D1166" s="85">
        <v>133.9</v>
      </c>
      <c r="E1166" s="85">
        <v>134.75</v>
      </c>
      <c r="F1166" s="85">
        <v>2568625</v>
      </c>
      <c r="G1166" s="112">
        <f t="shared" si="36"/>
        <v>2.6787707418707285E-3</v>
      </c>
      <c r="I1166" s="105">
        <v>44193</v>
      </c>
      <c r="J1166" s="85">
        <v>43564.2</v>
      </c>
      <c r="K1166" s="85">
        <v>43761.81</v>
      </c>
      <c r="L1166" s="85">
        <v>43534.96</v>
      </c>
      <c r="M1166" s="85">
        <v>43674.28</v>
      </c>
      <c r="N1166" s="123">
        <v>241173221</v>
      </c>
      <c r="O1166" s="112">
        <f t="shared" si="37"/>
        <v>5.9311183213306418E-3</v>
      </c>
    </row>
    <row r="1167" spans="1:15">
      <c r="A1167" s="105">
        <v>44189</v>
      </c>
      <c r="B1167" s="85">
        <v>135.44999999999999</v>
      </c>
      <c r="C1167" s="85">
        <v>135.5</v>
      </c>
      <c r="D1167" s="85">
        <v>133.01</v>
      </c>
      <c r="E1167" s="85">
        <v>134.38999999999999</v>
      </c>
      <c r="F1167" s="85">
        <v>3460629</v>
      </c>
      <c r="G1167" s="112">
        <f t="shared" si="36"/>
        <v>5.9563695927322691E-4</v>
      </c>
      <c r="I1167" s="105">
        <v>44189</v>
      </c>
      <c r="J1167" s="85">
        <v>43208.480000000003</v>
      </c>
      <c r="K1167" s="85">
        <v>43631.360000000001</v>
      </c>
      <c r="L1167" s="85">
        <v>43208.480000000003</v>
      </c>
      <c r="M1167" s="85">
        <v>43416.77</v>
      </c>
      <c r="N1167" s="123">
        <v>322753923</v>
      </c>
      <c r="O1167" s="112">
        <f t="shared" si="37"/>
        <v>7.6372143326286501E-3</v>
      </c>
    </row>
    <row r="1168" spans="1:15">
      <c r="A1168" s="105">
        <v>44188</v>
      </c>
      <c r="B1168" s="85">
        <v>133.25</v>
      </c>
      <c r="C1168" s="85">
        <v>135.44999999999999</v>
      </c>
      <c r="D1168" s="85">
        <v>132.75</v>
      </c>
      <c r="E1168" s="85">
        <v>134.31</v>
      </c>
      <c r="F1168" s="85">
        <v>4301596</v>
      </c>
      <c r="G1168" s="112">
        <f t="shared" si="36"/>
        <v>8.9393028846154188E-3</v>
      </c>
      <c r="I1168" s="105">
        <v>44188</v>
      </c>
      <c r="J1168" s="85">
        <v>42904.5</v>
      </c>
      <c r="K1168" s="85">
        <v>43214.37</v>
      </c>
      <c r="L1168" s="85">
        <v>42852.79</v>
      </c>
      <c r="M1168" s="85">
        <v>43087.7</v>
      </c>
      <c r="N1168" s="123">
        <v>164651666</v>
      </c>
      <c r="O1168" s="112">
        <f t="shared" si="37"/>
        <v>4.2128382960890942E-3</v>
      </c>
    </row>
    <row r="1169" spans="1:15">
      <c r="A1169" s="105">
        <v>44187</v>
      </c>
      <c r="B1169" s="85">
        <v>134.5</v>
      </c>
      <c r="C1169" s="85">
        <v>135.99</v>
      </c>
      <c r="D1169" s="85">
        <v>133</v>
      </c>
      <c r="E1169" s="85">
        <v>133.12</v>
      </c>
      <c r="F1169" s="85">
        <v>4881094</v>
      </c>
      <c r="G1169" s="112">
        <f t="shared" si="36"/>
        <v>-1.0848565908753272E-2</v>
      </c>
      <c r="I1169" s="105">
        <v>44187</v>
      </c>
      <c r="J1169" s="85">
        <v>43310.38</v>
      </c>
      <c r="K1169" s="85">
        <v>43478.97</v>
      </c>
      <c r="L1169" s="85">
        <v>42757.49</v>
      </c>
      <c r="M1169" s="85">
        <v>42906.94</v>
      </c>
      <c r="N1169" s="123">
        <v>201169723</v>
      </c>
      <c r="O1169" s="112">
        <f t="shared" si="37"/>
        <v>-9.8495953270614223E-3</v>
      </c>
    </row>
    <row r="1170" spans="1:15">
      <c r="A1170" s="105">
        <v>44186</v>
      </c>
      <c r="B1170" s="85">
        <v>136.5</v>
      </c>
      <c r="C1170" s="85">
        <v>136.5</v>
      </c>
      <c r="D1170" s="85">
        <v>134.02000000000001</v>
      </c>
      <c r="E1170" s="85">
        <v>134.58000000000001</v>
      </c>
      <c r="F1170" s="85">
        <v>4756264</v>
      </c>
      <c r="G1170" s="112">
        <f t="shared" si="36"/>
        <v>-1.4282575258184882E-2</v>
      </c>
      <c r="I1170" s="105">
        <v>44186</v>
      </c>
      <c r="J1170" s="85">
        <v>43732</v>
      </c>
      <c r="K1170" s="85">
        <v>43791.06</v>
      </c>
      <c r="L1170" s="85">
        <v>43287.54</v>
      </c>
      <c r="M1170" s="85">
        <v>43333.760000000002</v>
      </c>
      <c r="N1170" s="123">
        <v>243629732</v>
      </c>
      <c r="O1170" s="112">
        <f t="shared" si="37"/>
        <v>-9.3000659571038646E-3</v>
      </c>
    </row>
    <row r="1171" spans="1:15">
      <c r="A1171" s="105">
        <v>44183</v>
      </c>
      <c r="B1171" s="85">
        <v>136</v>
      </c>
      <c r="C1171" s="85">
        <v>137.9</v>
      </c>
      <c r="D1171" s="85">
        <v>135</v>
      </c>
      <c r="E1171" s="85">
        <v>136.53</v>
      </c>
      <c r="F1171" s="85">
        <v>10056351</v>
      </c>
      <c r="G1171" s="112">
        <f t="shared" si="36"/>
        <v>4.4140366365039707E-3</v>
      </c>
      <c r="I1171" s="105">
        <v>44183</v>
      </c>
      <c r="J1171" s="85">
        <v>43866.42</v>
      </c>
      <c r="K1171" s="85">
        <v>43955.56</v>
      </c>
      <c r="L1171" s="85">
        <v>43638.04</v>
      </c>
      <c r="M1171" s="85">
        <v>43740.55</v>
      </c>
      <c r="N1171" s="123">
        <v>247708731</v>
      </c>
      <c r="O1171" s="112">
        <f t="shared" si="37"/>
        <v>-5.9725786894093691E-4</v>
      </c>
    </row>
    <row r="1172" spans="1:15">
      <c r="A1172" s="105">
        <v>44182</v>
      </c>
      <c r="B1172" s="85">
        <v>133.6</v>
      </c>
      <c r="C1172" s="85">
        <v>137.69999999999999</v>
      </c>
      <c r="D1172" s="85">
        <v>133</v>
      </c>
      <c r="E1172" s="85">
        <v>135.93</v>
      </c>
      <c r="F1172" s="85">
        <v>15773135</v>
      </c>
      <c r="G1172" s="112">
        <f t="shared" si="36"/>
        <v>2.0418887470910585E-2</v>
      </c>
      <c r="I1172" s="105">
        <v>44182</v>
      </c>
      <c r="J1172" s="85">
        <v>43503.199999999997</v>
      </c>
      <c r="K1172" s="85">
        <v>43793.22</v>
      </c>
      <c r="L1172" s="85">
        <v>43503.199999999997</v>
      </c>
      <c r="M1172" s="85">
        <v>43766.69</v>
      </c>
      <c r="N1172" s="123">
        <v>286340005</v>
      </c>
      <c r="O1172" s="112">
        <f t="shared" si="37"/>
        <v>9.3749589196909788E-3</v>
      </c>
    </row>
    <row r="1173" spans="1:15">
      <c r="A1173" s="105">
        <v>44181</v>
      </c>
      <c r="B1173" s="85">
        <v>132.85</v>
      </c>
      <c r="C1173" s="85">
        <v>133.80000000000001</v>
      </c>
      <c r="D1173" s="85">
        <v>132.06</v>
      </c>
      <c r="E1173" s="85">
        <v>133.21</v>
      </c>
      <c r="F1173" s="85">
        <v>6838035</v>
      </c>
      <c r="G1173" s="112">
        <f t="shared" si="36"/>
        <v>2.709823108769438E-3</v>
      </c>
      <c r="I1173" s="105">
        <v>44181</v>
      </c>
      <c r="J1173" s="85">
        <v>43351.72</v>
      </c>
      <c r="K1173" s="85">
        <v>43556.97</v>
      </c>
      <c r="L1173" s="85">
        <v>43175.35</v>
      </c>
      <c r="M1173" s="85">
        <v>43360.19</v>
      </c>
      <c r="N1173" s="123">
        <v>252474699</v>
      </c>
      <c r="O1173" s="112">
        <f t="shared" si="37"/>
        <v>2.5282745953605357E-3</v>
      </c>
    </row>
    <row r="1174" spans="1:15">
      <c r="A1174" s="105">
        <v>44180</v>
      </c>
      <c r="B1174" s="85">
        <v>133.99</v>
      </c>
      <c r="C1174" s="85">
        <v>134.5</v>
      </c>
      <c r="D1174" s="85">
        <v>132.62</v>
      </c>
      <c r="E1174" s="85">
        <v>132.85</v>
      </c>
      <c r="F1174" s="85">
        <v>2998889</v>
      </c>
      <c r="G1174" s="112">
        <f t="shared" si="36"/>
        <v>-3.226290516206487E-3</v>
      </c>
      <c r="I1174" s="105">
        <v>44180</v>
      </c>
      <c r="J1174" s="85">
        <v>43375.73</v>
      </c>
      <c r="K1174" s="85">
        <v>43711.86</v>
      </c>
      <c r="L1174" s="85">
        <v>43123.09</v>
      </c>
      <c r="M1174" s="85">
        <v>43250.84</v>
      </c>
      <c r="N1174" s="123">
        <v>405410875</v>
      </c>
      <c r="O1174" s="112">
        <f t="shared" si="37"/>
        <v>-3.5547362353360867E-4</v>
      </c>
    </row>
    <row r="1175" spans="1:15">
      <c r="A1175" s="105">
        <v>44179</v>
      </c>
      <c r="B1175" s="85">
        <v>133</v>
      </c>
      <c r="C1175" s="85">
        <v>133.79</v>
      </c>
      <c r="D1175" s="85">
        <v>132.61000000000001</v>
      </c>
      <c r="E1175" s="85">
        <v>133.28</v>
      </c>
      <c r="F1175" s="85">
        <v>3131914</v>
      </c>
      <c r="G1175" s="112">
        <f t="shared" si="36"/>
        <v>3.4633338352658694E-3</v>
      </c>
      <c r="I1175" s="105">
        <v>44179</v>
      </c>
      <c r="J1175" s="85">
        <v>42556.83</v>
      </c>
      <c r="K1175" s="85">
        <v>43321.5</v>
      </c>
      <c r="L1175" s="85">
        <v>42547.28</v>
      </c>
      <c r="M1175" s="85">
        <v>43266.22</v>
      </c>
      <c r="N1175" s="123">
        <v>337635686</v>
      </c>
      <c r="O1175" s="112">
        <f t="shared" si="37"/>
        <v>1.8738466964866696E-2</v>
      </c>
    </row>
    <row r="1176" spans="1:15">
      <c r="A1176" s="105">
        <v>44176</v>
      </c>
      <c r="B1176" s="85">
        <v>132.80000000000001</v>
      </c>
      <c r="C1176" s="85">
        <v>133.49</v>
      </c>
      <c r="D1176" s="85">
        <v>131.9</v>
      </c>
      <c r="E1176" s="85">
        <v>132.82</v>
      </c>
      <c r="F1176" s="85">
        <v>13323030</v>
      </c>
      <c r="G1176" s="112">
        <f t="shared" si="36"/>
        <v>3.7787182587665225E-3</v>
      </c>
      <c r="I1176" s="105">
        <v>44176</v>
      </c>
      <c r="J1176" s="85">
        <v>42477.74</v>
      </c>
      <c r="K1176" s="85">
        <v>42628.01</v>
      </c>
      <c r="L1176" s="85">
        <v>42423.76</v>
      </c>
      <c r="M1176" s="85">
        <v>42470.39</v>
      </c>
      <c r="N1176" s="123">
        <v>302793694</v>
      </c>
      <c r="O1176" s="112">
        <f t="shared" si="37"/>
        <v>3.8895339272309037E-3</v>
      </c>
    </row>
    <row r="1177" spans="1:15">
      <c r="A1177" s="105">
        <v>44175</v>
      </c>
      <c r="B1177" s="85">
        <v>131.01</v>
      </c>
      <c r="C1177" s="85">
        <v>138.22</v>
      </c>
      <c r="D1177" s="85">
        <v>131.01</v>
      </c>
      <c r="E1177" s="85">
        <v>132.32</v>
      </c>
      <c r="F1177" s="85">
        <v>10067093</v>
      </c>
      <c r="G1177" s="112">
        <f t="shared" si="36"/>
        <v>7.6917218795216069E-3</v>
      </c>
      <c r="I1177" s="105">
        <v>44175</v>
      </c>
      <c r="J1177" s="85">
        <v>42243.45</v>
      </c>
      <c r="K1177" s="85">
        <v>42441.31</v>
      </c>
      <c r="L1177" s="85">
        <v>42119.63</v>
      </c>
      <c r="M1177" s="85">
        <v>42305.84</v>
      </c>
      <c r="N1177" s="123">
        <v>308315660</v>
      </c>
      <c r="O1177" s="112">
        <f t="shared" si="37"/>
        <v>2.4123288700155232E-3</v>
      </c>
    </row>
    <row r="1178" spans="1:15">
      <c r="A1178" s="105">
        <v>44174</v>
      </c>
      <c r="B1178" s="85">
        <v>130.99</v>
      </c>
      <c r="C1178" s="85">
        <v>132.07</v>
      </c>
      <c r="D1178" s="85">
        <v>130.59</v>
      </c>
      <c r="E1178" s="85">
        <v>131.31</v>
      </c>
      <c r="F1178" s="85">
        <v>4784767</v>
      </c>
      <c r="G1178" s="112">
        <f t="shared" si="36"/>
        <v>4.6671767406274434E-3</v>
      </c>
      <c r="I1178" s="105">
        <v>44174</v>
      </c>
      <c r="J1178" s="85">
        <v>42085.77</v>
      </c>
      <c r="K1178" s="85">
        <v>42350.41</v>
      </c>
      <c r="L1178" s="85">
        <v>42024.19</v>
      </c>
      <c r="M1178" s="85">
        <v>42204.03</v>
      </c>
      <c r="N1178" s="123">
        <v>244324577</v>
      </c>
      <c r="O1178" s="112">
        <f t="shared" si="37"/>
        <v>2.4286384091123381E-3</v>
      </c>
    </row>
    <row r="1179" spans="1:15">
      <c r="A1179" s="105">
        <v>44173</v>
      </c>
      <c r="B1179" s="85">
        <v>130.49</v>
      </c>
      <c r="C1179" s="85">
        <v>130.99</v>
      </c>
      <c r="D1179" s="85">
        <v>130.30000000000001</v>
      </c>
      <c r="E1179" s="85">
        <v>130.69999999999999</v>
      </c>
      <c r="F1179" s="85">
        <v>2961196</v>
      </c>
      <c r="G1179" s="112">
        <f t="shared" si="36"/>
        <v>2.8389472876542143E-3</v>
      </c>
      <c r="I1179" s="105">
        <v>44173</v>
      </c>
      <c r="J1179" s="85">
        <v>42119.39</v>
      </c>
      <c r="K1179" s="85">
        <v>42233.96</v>
      </c>
      <c r="L1179" s="85">
        <v>41946.55</v>
      </c>
      <c r="M1179" s="85">
        <v>42101.78</v>
      </c>
      <c r="N1179" s="123">
        <v>194702194</v>
      </c>
      <c r="O1179" s="112">
        <f t="shared" si="37"/>
        <v>-3.2126084314698655E-4</v>
      </c>
    </row>
    <row r="1180" spans="1:15">
      <c r="A1180" s="105">
        <v>44172</v>
      </c>
      <c r="B1180" s="85">
        <v>130.01</v>
      </c>
      <c r="C1180" s="85">
        <v>131.19999999999999</v>
      </c>
      <c r="D1180" s="85">
        <v>129</v>
      </c>
      <c r="E1180" s="85">
        <v>130.33000000000001</v>
      </c>
      <c r="F1180" s="85">
        <v>3312481</v>
      </c>
      <c r="G1180" s="112">
        <f t="shared" si="36"/>
        <v>3.233007466707738E-3</v>
      </c>
      <c r="I1180" s="105">
        <v>44172</v>
      </c>
      <c r="J1180" s="85">
        <v>42247.57</v>
      </c>
      <c r="K1180" s="85">
        <v>42321.37</v>
      </c>
      <c r="L1180" s="85">
        <v>42044.59</v>
      </c>
      <c r="M1180" s="85">
        <v>42115.31</v>
      </c>
      <c r="N1180" s="123">
        <v>191147941</v>
      </c>
      <c r="O1180" s="112">
        <f t="shared" si="37"/>
        <v>-2.1723884663682469E-3</v>
      </c>
    </row>
    <row r="1181" spans="1:15">
      <c r="A1181" s="105">
        <v>44169</v>
      </c>
      <c r="B1181" s="85">
        <v>130</v>
      </c>
      <c r="C1181" s="85">
        <v>130.49</v>
      </c>
      <c r="D1181" s="85">
        <v>129.6</v>
      </c>
      <c r="E1181" s="85">
        <v>129.91</v>
      </c>
      <c r="F1181" s="85">
        <v>5045137</v>
      </c>
      <c r="G1181" s="112">
        <f t="shared" si="36"/>
        <v>0</v>
      </c>
      <c r="I1181" s="105">
        <v>44169</v>
      </c>
      <c r="J1181" s="85">
        <v>42146.27</v>
      </c>
      <c r="K1181" s="85">
        <v>42316.52</v>
      </c>
      <c r="L1181" s="85">
        <v>42138.33</v>
      </c>
      <c r="M1181" s="85">
        <v>42207</v>
      </c>
      <c r="N1181" s="123">
        <v>237168610</v>
      </c>
      <c r="O1181" s="112">
        <f t="shared" si="37"/>
        <v>3.7880769753984023E-3</v>
      </c>
    </row>
    <row r="1182" spans="1:15">
      <c r="A1182" s="105">
        <v>44168</v>
      </c>
      <c r="B1182" s="85">
        <v>130.01</v>
      </c>
      <c r="C1182" s="85">
        <v>130.97999999999999</v>
      </c>
      <c r="D1182" s="85">
        <v>129.75</v>
      </c>
      <c r="E1182" s="85">
        <v>129.91</v>
      </c>
      <c r="F1182" s="85">
        <v>1475106</v>
      </c>
      <c r="G1182" s="112">
        <f t="shared" si="36"/>
        <v>-3.6812639006057468E-3</v>
      </c>
      <c r="I1182" s="105">
        <v>44168</v>
      </c>
      <c r="J1182" s="85">
        <v>42165.56</v>
      </c>
      <c r="K1182" s="85">
        <v>42412.51</v>
      </c>
      <c r="L1182" s="85">
        <v>42009.3</v>
      </c>
      <c r="M1182" s="85">
        <v>42047.72</v>
      </c>
      <c r="N1182" s="123">
        <v>240184394</v>
      </c>
      <c r="O1182" s="112">
        <f t="shared" si="37"/>
        <v>4.839702118000222E-4</v>
      </c>
    </row>
    <row r="1183" spans="1:15">
      <c r="A1183" s="105">
        <v>44167</v>
      </c>
      <c r="B1183" s="85">
        <v>131.38999999999999</v>
      </c>
      <c r="C1183" s="85">
        <v>131.47</v>
      </c>
      <c r="D1183" s="85">
        <v>129.9</v>
      </c>
      <c r="E1183" s="85">
        <v>130.38999999999999</v>
      </c>
      <c r="F1183" s="85">
        <v>3635603</v>
      </c>
      <c r="G1183" s="112">
        <f t="shared" si="36"/>
        <v>-1.6844039506931363E-3</v>
      </c>
      <c r="I1183" s="105">
        <v>44167</v>
      </c>
      <c r="J1183" s="85">
        <v>41676.550000000003</v>
      </c>
      <c r="K1183" s="85">
        <v>42072.9</v>
      </c>
      <c r="L1183" s="85">
        <v>41676.550000000003</v>
      </c>
      <c r="M1183" s="85">
        <v>42027.38</v>
      </c>
      <c r="N1183" s="123">
        <v>280957162</v>
      </c>
      <c r="O1183" s="112">
        <f t="shared" si="37"/>
        <v>8.6909313200178584E-3</v>
      </c>
    </row>
    <row r="1184" spans="1:15">
      <c r="A1184" s="105">
        <v>44166</v>
      </c>
      <c r="B1184" s="85">
        <v>130.5</v>
      </c>
      <c r="C1184" s="85">
        <v>131.5</v>
      </c>
      <c r="D1184" s="85">
        <v>129.6</v>
      </c>
      <c r="E1184" s="85">
        <v>130.61000000000001</v>
      </c>
      <c r="F1184" s="85">
        <v>2575827</v>
      </c>
      <c r="G1184" s="112">
        <f t="shared" si="36"/>
        <v>3.7657546879803494E-3</v>
      </c>
      <c r="I1184" s="105">
        <v>44166</v>
      </c>
      <c r="J1184" s="85">
        <v>41092.19</v>
      </c>
      <c r="K1184" s="85">
        <v>41724.04</v>
      </c>
      <c r="L1184" s="85">
        <v>41092.19</v>
      </c>
      <c r="M1184" s="85">
        <v>41665.269999999997</v>
      </c>
      <c r="N1184" s="123">
        <v>299837417</v>
      </c>
      <c r="O1184" s="112">
        <f t="shared" si="37"/>
        <v>1.4523183281136332E-2</v>
      </c>
    </row>
    <row r="1185" spans="1:15">
      <c r="A1185" s="105">
        <v>44165</v>
      </c>
      <c r="B1185" s="85">
        <v>130.44</v>
      </c>
      <c r="C1185" s="85">
        <v>130.75</v>
      </c>
      <c r="D1185" s="85">
        <v>129.25</v>
      </c>
      <c r="E1185" s="85">
        <v>130.12</v>
      </c>
      <c r="F1185" s="85">
        <v>2735504</v>
      </c>
      <c r="G1185" s="112">
        <f t="shared" si="36"/>
        <v>1.61650373335398E-3</v>
      </c>
      <c r="I1185" s="105">
        <v>44165</v>
      </c>
      <c r="J1185" s="85">
        <v>40782.699999999997</v>
      </c>
      <c r="K1185" s="85">
        <v>41115.1</v>
      </c>
      <c r="L1185" s="85">
        <v>40669.49</v>
      </c>
      <c r="M1185" s="85">
        <v>41068.82</v>
      </c>
      <c r="N1185" s="123">
        <v>184486424</v>
      </c>
      <c r="O1185" s="112">
        <f t="shared" si="37"/>
        <v>6.4138364191126396E-3</v>
      </c>
    </row>
    <row r="1186" spans="1:15">
      <c r="A1186" s="105">
        <v>44162</v>
      </c>
      <c r="B1186" s="85">
        <v>130</v>
      </c>
      <c r="C1186" s="85">
        <v>130.80000000000001</v>
      </c>
      <c r="D1186" s="85">
        <v>129.12</v>
      </c>
      <c r="E1186" s="85">
        <v>129.91</v>
      </c>
      <c r="F1186" s="85">
        <v>695936</v>
      </c>
      <c r="G1186" s="112">
        <f t="shared" si="36"/>
        <v>7.7035667514047113E-4</v>
      </c>
      <c r="I1186" s="105">
        <v>44162</v>
      </c>
      <c r="J1186" s="85">
        <v>40976.639999999999</v>
      </c>
      <c r="K1186" s="85">
        <v>41067.129999999997</v>
      </c>
      <c r="L1186" s="85">
        <v>40751.54</v>
      </c>
      <c r="M1186" s="85">
        <v>40807.089999999997</v>
      </c>
      <c r="N1186" s="123">
        <v>247890232</v>
      </c>
      <c r="O1186" s="112">
        <f t="shared" si="37"/>
        <v>-5.4578205811552927E-3</v>
      </c>
    </row>
    <row r="1187" spans="1:15">
      <c r="A1187" s="105">
        <v>44161</v>
      </c>
      <c r="B1187" s="85">
        <v>130.80000000000001</v>
      </c>
      <c r="C1187" s="85">
        <v>131.05000000000001</v>
      </c>
      <c r="D1187" s="85">
        <v>128.75</v>
      </c>
      <c r="E1187" s="85">
        <v>129.81</v>
      </c>
      <c r="F1187" s="85">
        <v>2900517</v>
      </c>
      <c r="G1187" s="112">
        <f t="shared" si="36"/>
        <v>1.3885674612359455E-3</v>
      </c>
      <c r="I1187" s="105">
        <v>44161</v>
      </c>
      <c r="J1187" s="85">
        <v>40655.300000000003</v>
      </c>
      <c r="K1187" s="85">
        <v>41128.5</v>
      </c>
      <c r="L1187" s="85">
        <v>40655.300000000003</v>
      </c>
      <c r="M1187" s="85">
        <v>41031.03</v>
      </c>
      <c r="N1187" s="123">
        <v>248715663</v>
      </c>
      <c r="O1187" s="112">
        <f t="shared" si="37"/>
        <v>1.6184744336763535E-2</v>
      </c>
    </row>
    <row r="1188" spans="1:15">
      <c r="A1188" s="105">
        <v>44160</v>
      </c>
      <c r="B1188" s="85">
        <v>130</v>
      </c>
      <c r="C1188" s="85">
        <v>130</v>
      </c>
      <c r="D1188" s="85">
        <v>128.35</v>
      </c>
      <c r="E1188" s="85">
        <v>129.63</v>
      </c>
      <c r="F1188" s="85">
        <v>1912828</v>
      </c>
      <c r="G1188" s="112">
        <f t="shared" si="36"/>
        <v>6.991377301328372E-3</v>
      </c>
      <c r="I1188" s="105">
        <v>44160</v>
      </c>
      <c r="J1188" s="85">
        <v>40054.410000000003</v>
      </c>
      <c r="K1188" s="85">
        <v>40431.56</v>
      </c>
      <c r="L1188" s="85">
        <v>40014.18</v>
      </c>
      <c r="M1188" s="85">
        <v>40377.53</v>
      </c>
      <c r="N1188" s="123">
        <v>142905342</v>
      </c>
      <c r="O1188" s="112">
        <f t="shared" si="37"/>
        <v>1.2898310629108956E-2</v>
      </c>
    </row>
    <row r="1189" spans="1:15">
      <c r="A1189" s="105">
        <v>44159</v>
      </c>
      <c r="B1189" s="85">
        <v>129</v>
      </c>
      <c r="C1189" s="85">
        <v>130.01</v>
      </c>
      <c r="D1189" s="85">
        <v>128.47999999999999</v>
      </c>
      <c r="E1189" s="85">
        <v>128.72999999999999</v>
      </c>
      <c r="F1189" s="85">
        <v>1340129</v>
      </c>
      <c r="G1189" s="112">
        <f t="shared" si="36"/>
        <v>1.2444582717585639E-3</v>
      </c>
      <c r="I1189" s="105">
        <v>44159</v>
      </c>
      <c r="J1189" s="85">
        <v>39789.58</v>
      </c>
      <c r="K1189" s="85">
        <v>40021.33</v>
      </c>
      <c r="L1189" s="85">
        <v>39631.040000000001</v>
      </c>
      <c r="M1189" s="85">
        <v>39863.360000000001</v>
      </c>
      <c r="N1189" s="123">
        <v>105951913</v>
      </c>
      <c r="O1189" s="112">
        <f t="shared" si="37"/>
        <v>5.8245097712688043E-3</v>
      </c>
    </row>
    <row r="1190" spans="1:15">
      <c r="A1190" s="105">
        <v>44158</v>
      </c>
      <c r="B1190" s="85">
        <v>130.88</v>
      </c>
      <c r="C1190" s="85">
        <v>130.88</v>
      </c>
      <c r="D1190" s="85">
        <v>126.76</v>
      </c>
      <c r="E1190" s="85">
        <v>128.57</v>
      </c>
      <c r="F1190" s="85">
        <v>2378928</v>
      </c>
      <c r="G1190" s="112">
        <f t="shared" si="36"/>
        <v>-1.3579868037440601E-2</v>
      </c>
      <c r="I1190" s="105">
        <v>44158</v>
      </c>
      <c r="J1190" s="85">
        <v>40143.57</v>
      </c>
      <c r="K1190" s="85">
        <v>40153.86</v>
      </c>
      <c r="L1190" s="85">
        <v>39314.28</v>
      </c>
      <c r="M1190" s="85">
        <v>39632.519999999997</v>
      </c>
      <c r="N1190" s="123">
        <v>117917672</v>
      </c>
      <c r="O1190" s="112">
        <f t="shared" si="37"/>
        <v>-1.3801913943700561E-2</v>
      </c>
    </row>
    <row r="1191" spans="1:15">
      <c r="A1191" s="105">
        <v>44155</v>
      </c>
      <c r="B1191" s="85">
        <v>131</v>
      </c>
      <c r="C1191" s="85">
        <v>131.83000000000001</v>
      </c>
      <c r="D1191" s="85">
        <v>129.75</v>
      </c>
      <c r="E1191" s="85">
        <v>130.34</v>
      </c>
      <c r="F1191" s="85">
        <v>1778387</v>
      </c>
      <c r="G1191" s="112">
        <f t="shared" si="36"/>
        <v>-8.2179272561252459E-3</v>
      </c>
      <c r="I1191" s="105">
        <v>44155</v>
      </c>
      <c r="J1191" s="85">
        <v>40527.160000000003</v>
      </c>
      <c r="K1191" s="85">
        <v>40598.239999999998</v>
      </c>
      <c r="L1191" s="85">
        <v>40126.800000000003</v>
      </c>
      <c r="M1191" s="85">
        <v>40187.18</v>
      </c>
      <c r="N1191" s="123">
        <v>125377472</v>
      </c>
      <c r="O1191" s="112">
        <f t="shared" si="37"/>
        <v>-8.7201257008387989E-3</v>
      </c>
    </row>
    <row r="1192" spans="1:15">
      <c r="A1192" s="105">
        <v>44154</v>
      </c>
      <c r="B1192" s="85">
        <v>130.74</v>
      </c>
      <c r="C1192" s="85">
        <v>131.74</v>
      </c>
      <c r="D1192" s="85">
        <v>130</v>
      </c>
      <c r="E1192" s="85">
        <v>131.41999999999999</v>
      </c>
      <c r="F1192" s="85">
        <v>1612282</v>
      </c>
      <c r="G1192" s="112">
        <f t="shared" si="36"/>
        <v>1.2246784256334964E-2</v>
      </c>
      <c r="I1192" s="105">
        <v>44154</v>
      </c>
      <c r="J1192" s="85">
        <v>40527.519999999997</v>
      </c>
      <c r="K1192" s="85">
        <v>40746.01</v>
      </c>
      <c r="L1192" s="85">
        <v>40428.879999999997</v>
      </c>
      <c r="M1192" s="85">
        <v>40540.699999999997</v>
      </c>
      <c r="N1192" s="123">
        <v>110821404</v>
      </c>
      <c r="O1192" s="112">
        <f t="shared" si="37"/>
        <v>6.4248332764393901E-4</v>
      </c>
    </row>
    <row r="1193" spans="1:15">
      <c r="A1193" s="105">
        <v>44153</v>
      </c>
      <c r="B1193" s="85">
        <v>130.9</v>
      </c>
      <c r="C1193" s="85">
        <v>131.4</v>
      </c>
      <c r="D1193" s="85">
        <v>129</v>
      </c>
      <c r="E1193" s="85">
        <v>129.83000000000001</v>
      </c>
      <c r="F1193" s="85">
        <v>2981244</v>
      </c>
      <c r="G1193" s="112">
        <f t="shared" si="36"/>
        <v>-9.23382173382159E-3</v>
      </c>
      <c r="I1193" s="105">
        <v>44153</v>
      </c>
      <c r="J1193" s="85">
        <v>40642.400000000001</v>
      </c>
      <c r="K1193" s="85">
        <v>40658.15</v>
      </c>
      <c r="L1193" s="85">
        <v>40344.620000000003</v>
      </c>
      <c r="M1193" s="85">
        <v>40514.67</v>
      </c>
      <c r="N1193" s="123">
        <v>78589339</v>
      </c>
      <c r="O1193" s="112">
        <f t="shared" si="37"/>
        <v>-3.3946109812713621E-3</v>
      </c>
    </row>
    <row r="1194" spans="1:15">
      <c r="A1194" s="105">
        <v>44152</v>
      </c>
      <c r="B1194" s="85">
        <v>131.9</v>
      </c>
      <c r="C1194" s="85">
        <v>132.5</v>
      </c>
      <c r="D1194" s="85">
        <v>131</v>
      </c>
      <c r="E1194" s="85">
        <v>131.04</v>
      </c>
      <c r="F1194" s="85">
        <v>1798549</v>
      </c>
      <c r="G1194" s="112">
        <f t="shared" si="36"/>
        <v>3.5996017461896734E-3</v>
      </c>
      <c r="I1194" s="105">
        <v>44152</v>
      </c>
      <c r="J1194" s="85">
        <v>40614.89</v>
      </c>
      <c r="K1194" s="85">
        <v>40963.58</v>
      </c>
      <c r="L1194" s="85">
        <v>40504.75</v>
      </c>
      <c r="M1194" s="85">
        <v>40652.67</v>
      </c>
      <c r="N1194" s="123">
        <v>79554656</v>
      </c>
      <c r="O1194" s="112">
        <f t="shared" si="37"/>
        <v>3.6519173677160843E-3</v>
      </c>
    </row>
    <row r="1195" spans="1:15">
      <c r="A1195" s="105">
        <v>44151</v>
      </c>
      <c r="B1195" s="85">
        <v>131.44999999999999</v>
      </c>
      <c r="C1195" s="85">
        <v>132.44999999999999</v>
      </c>
      <c r="D1195" s="85">
        <v>130.05000000000001</v>
      </c>
      <c r="E1195" s="85">
        <v>130.57</v>
      </c>
      <c r="F1195" s="85">
        <v>1828356</v>
      </c>
      <c r="G1195" s="112">
        <f t="shared" si="36"/>
        <v>-4.2705711888965103E-3</v>
      </c>
      <c r="I1195" s="105">
        <v>44151</v>
      </c>
      <c r="J1195" s="85">
        <v>40574.720000000001</v>
      </c>
      <c r="K1195" s="85">
        <v>40794.69</v>
      </c>
      <c r="L1195" s="85">
        <v>40470.120000000003</v>
      </c>
      <c r="M1195" s="85">
        <v>40504.75</v>
      </c>
      <c r="N1195" s="123">
        <v>115795848</v>
      </c>
      <c r="O1195" s="112">
        <f t="shared" si="37"/>
        <v>-1.5923351002665731E-3</v>
      </c>
    </row>
    <row r="1196" spans="1:15">
      <c r="A1196" s="105">
        <v>44148</v>
      </c>
      <c r="B1196" s="85">
        <v>130.51</v>
      </c>
      <c r="C1196" s="85">
        <v>132</v>
      </c>
      <c r="D1196" s="85">
        <v>130.05000000000001</v>
      </c>
      <c r="E1196" s="85">
        <v>131.13</v>
      </c>
      <c r="F1196" s="85">
        <v>674964</v>
      </c>
      <c r="G1196" s="112">
        <f t="shared" si="36"/>
        <v>7.2975879551389067E-3</v>
      </c>
      <c r="I1196" s="105">
        <v>44148</v>
      </c>
      <c r="J1196" s="85">
        <v>40501.660000000003</v>
      </c>
      <c r="K1196" s="85">
        <v>40690.68</v>
      </c>
      <c r="L1196" s="85">
        <v>40259.1</v>
      </c>
      <c r="M1196" s="85">
        <v>40569.35</v>
      </c>
      <c r="N1196" s="123">
        <v>120410473</v>
      </c>
      <c r="O1196" s="112">
        <f t="shared" si="37"/>
        <v>1.1832992107629892E-4</v>
      </c>
    </row>
    <row r="1197" spans="1:15">
      <c r="A1197" s="105">
        <v>44147</v>
      </c>
      <c r="B1197" s="85">
        <v>132.51</v>
      </c>
      <c r="C1197" s="85">
        <v>133.47999999999999</v>
      </c>
      <c r="D1197" s="85">
        <v>129.69999999999999</v>
      </c>
      <c r="E1197" s="85">
        <v>130.18</v>
      </c>
      <c r="F1197" s="85">
        <v>3333605</v>
      </c>
      <c r="G1197" s="112">
        <f t="shared" si="36"/>
        <v>-1.9359698681732485E-2</v>
      </c>
      <c r="I1197" s="105">
        <v>44147</v>
      </c>
      <c r="J1197" s="85">
        <v>41178.68</v>
      </c>
      <c r="K1197" s="85">
        <v>41183.81</v>
      </c>
      <c r="L1197" s="85">
        <v>40492.14</v>
      </c>
      <c r="M1197" s="85">
        <v>40564.550000000003</v>
      </c>
      <c r="N1197" s="123">
        <v>167110782</v>
      </c>
      <c r="O1197" s="112">
        <f t="shared" si="37"/>
        <v>-1.5359494258364248E-2</v>
      </c>
    </row>
    <row r="1198" spans="1:15">
      <c r="A1198" s="105">
        <v>44146</v>
      </c>
      <c r="B1198" s="85">
        <v>131.88999999999999</v>
      </c>
      <c r="C1198" s="85">
        <v>133.94999999999999</v>
      </c>
      <c r="D1198" s="85">
        <v>130.01</v>
      </c>
      <c r="E1198" s="85">
        <v>132.75</v>
      </c>
      <c r="F1198" s="85">
        <v>2626483</v>
      </c>
      <c r="G1198" s="112">
        <f t="shared" si="36"/>
        <v>1.6384656611285298E-2</v>
      </c>
      <c r="I1198" s="105">
        <v>44146</v>
      </c>
      <c r="J1198" s="85">
        <v>41216.089999999997</v>
      </c>
      <c r="K1198" s="85">
        <v>41331.440000000002</v>
      </c>
      <c r="L1198" s="85">
        <v>40900.03</v>
      </c>
      <c r="M1198" s="85">
        <v>41197.32</v>
      </c>
      <c r="N1198" s="123">
        <v>129685163</v>
      </c>
      <c r="O1198" s="112">
        <f t="shared" si="37"/>
        <v>1.0757404372214729E-3</v>
      </c>
    </row>
    <row r="1199" spans="1:15">
      <c r="A1199" s="105">
        <v>44145</v>
      </c>
      <c r="B1199" s="85">
        <v>134.87</v>
      </c>
      <c r="C1199" s="85">
        <v>134.87</v>
      </c>
      <c r="D1199" s="85">
        <v>129.1</v>
      </c>
      <c r="E1199" s="85">
        <v>130.61000000000001</v>
      </c>
      <c r="F1199" s="85">
        <v>3450426</v>
      </c>
      <c r="G1199" s="112">
        <f t="shared" si="36"/>
        <v>3.0719606789033627E-3</v>
      </c>
      <c r="I1199" s="105">
        <v>44145</v>
      </c>
      <c r="J1199" s="85">
        <v>41479.32</v>
      </c>
      <c r="K1199" s="85">
        <v>41602.400000000001</v>
      </c>
      <c r="L1199" s="85">
        <v>41077.01</v>
      </c>
      <c r="M1199" s="85">
        <v>41153.050000000003</v>
      </c>
      <c r="N1199" s="123">
        <v>211603556</v>
      </c>
      <c r="O1199" s="112">
        <f t="shared" si="37"/>
        <v>9.0479020714966385E-3</v>
      </c>
    </row>
    <row r="1200" spans="1:15">
      <c r="A1200" s="105">
        <v>44144</v>
      </c>
      <c r="B1200" s="85">
        <v>128.1</v>
      </c>
      <c r="C1200" s="85">
        <v>130.94</v>
      </c>
      <c r="D1200" s="85">
        <v>128.02000000000001</v>
      </c>
      <c r="E1200" s="85">
        <v>130.21</v>
      </c>
      <c r="F1200" s="85">
        <v>2644077</v>
      </c>
      <c r="G1200" s="112">
        <f t="shared" si="36"/>
        <v>1.8618477665649724E-2</v>
      </c>
      <c r="I1200" s="105">
        <v>44144</v>
      </c>
      <c r="J1200" s="85">
        <v>40832.61</v>
      </c>
      <c r="K1200" s="85">
        <v>40945.68</v>
      </c>
      <c r="L1200" s="85">
        <v>40596.99</v>
      </c>
      <c r="M1200" s="85">
        <v>40784.04</v>
      </c>
      <c r="N1200" s="123">
        <v>148292195</v>
      </c>
      <c r="O1200" s="112">
        <f t="shared" si="37"/>
        <v>1.2872066682363403E-3</v>
      </c>
    </row>
    <row r="1201" spans="1:15">
      <c r="A1201" s="105">
        <v>44141</v>
      </c>
      <c r="B1201" s="85">
        <v>131.44</v>
      </c>
      <c r="C1201" s="85">
        <v>131.88</v>
      </c>
      <c r="D1201" s="85">
        <v>127.05</v>
      </c>
      <c r="E1201" s="85">
        <v>127.83</v>
      </c>
      <c r="F1201" s="85">
        <v>522560</v>
      </c>
      <c r="G1201" s="112">
        <f t="shared" si="36"/>
        <v>-2.2706422018348715E-2</v>
      </c>
      <c r="I1201" s="105">
        <v>44141</v>
      </c>
      <c r="J1201" s="85">
        <v>41144.089999999997</v>
      </c>
      <c r="K1201" s="85">
        <v>41147.050000000003</v>
      </c>
      <c r="L1201" s="85">
        <v>40675.15</v>
      </c>
      <c r="M1201" s="85">
        <v>40731.61</v>
      </c>
      <c r="N1201" s="123">
        <v>185324168</v>
      </c>
      <c r="O1201" s="112">
        <f t="shared" si="37"/>
        <v>-8.270738934487154E-3</v>
      </c>
    </row>
    <row r="1202" spans="1:15">
      <c r="A1202" s="105">
        <v>44140</v>
      </c>
      <c r="B1202" s="85">
        <v>129.88999999999999</v>
      </c>
      <c r="C1202" s="85">
        <v>131.4</v>
      </c>
      <c r="D1202" s="85">
        <v>129.16</v>
      </c>
      <c r="E1202" s="85">
        <v>130.80000000000001</v>
      </c>
      <c r="F1202" s="85">
        <v>1009389</v>
      </c>
      <c r="G1202" s="112">
        <f t="shared" si="36"/>
        <v>1.6080167793055322E-2</v>
      </c>
      <c r="I1202" s="105">
        <v>44140</v>
      </c>
      <c r="J1202" s="85">
        <v>40461.14</v>
      </c>
      <c r="K1202" s="85">
        <v>41086.06</v>
      </c>
      <c r="L1202" s="85">
        <v>40461.14</v>
      </c>
      <c r="M1202" s="85">
        <v>41071.300000000003</v>
      </c>
      <c r="N1202" s="123">
        <v>193380341</v>
      </c>
      <c r="O1202" s="112">
        <f t="shared" si="37"/>
        <v>1.959537222121277E-2</v>
      </c>
    </row>
    <row r="1203" spans="1:15">
      <c r="A1203" s="105">
        <v>44139</v>
      </c>
      <c r="B1203" s="85">
        <v>131.9</v>
      </c>
      <c r="C1203" s="85">
        <v>131.9</v>
      </c>
      <c r="D1203" s="85">
        <v>128.5</v>
      </c>
      <c r="E1203" s="85">
        <v>128.72999999999999</v>
      </c>
      <c r="F1203" s="85">
        <v>719907</v>
      </c>
      <c r="G1203" s="112">
        <f t="shared" si="36"/>
        <v>-1.725322543705643E-2</v>
      </c>
      <c r="I1203" s="105">
        <v>44139</v>
      </c>
      <c r="J1203" s="85">
        <v>40753.03</v>
      </c>
      <c r="K1203" s="85">
        <v>40914.589999999997</v>
      </c>
      <c r="L1203" s="85">
        <v>40223</v>
      </c>
      <c r="M1203" s="85">
        <v>40281.96</v>
      </c>
      <c r="N1203" s="123">
        <v>234053645</v>
      </c>
      <c r="O1203" s="112">
        <f t="shared" si="37"/>
        <v>-4.9139247961011989E-3</v>
      </c>
    </row>
    <row r="1204" spans="1:15">
      <c r="A1204" s="105">
        <v>44138</v>
      </c>
      <c r="B1204" s="85">
        <v>126.9</v>
      </c>
      <c r="C1204" s="85">
        <v>132</v>
      </c>
      <c r="D1204" s="85">
        <v>126.9</v>
      </c>
      <c r="E1204" s="85">
        <v>130.99</v>
      </c>
      <c r="F1204" s="85">
        <v>2271383</v>
      </c>
      <c r="G1204" s="112">
        <f t="shared" si="36"/>
        <v>3.9850758117011997E-2</v>
      </c>
      <c r="I1204" s="105">
        <v>44138</v>
      </c>
      <c r="J1204" s="85">
        <v>39345.75</v>
      </c>
      <c r="K1204" s="85">
        <v>40499.64</v>
      </c>
      <c r="L1204" s="85">
        <v>39345.75</v>
      </c>
      <c r="M1204" s="85">
        <v>40480.879999999997</v>
      </c>
      <c r="N1204" s="123">
        <v>229345656</v>
      </c>
      <c r="O1204" s="112">
        <f t="shared" si="37"/>
        <v>3.4994214078581054E-2</v>
      </c>
    </row>
    <row r="1205" spans="1:15">
      <c r="A1205" s="105">
        <v>44137</v>
      </c>
      <c r="B1205" s="85">
        <v>129.99</v>
      </c>
      <c r="C1205" s="85">
        <v>130</v>
      </c>
      <c r="D1205" s="85">
        <v>125.25</v>
      </c>
      <c r="E1205" s="85">
        <v>125.97</v>
      </c>
      <c r="F1205" s="85">
        <v>978768</v>
      </c>
      <c r="G1205" s="112">
        <f t="shared" si="36"/>
        <v>-3.1819229882407263E-2</v>
      </c>
      <c r="I1205" s="105">
        <v>44137</v>
      </c>
      <c r="J1205" s="85">
        <v>39703.31</v>
      </c>
      <c r="K1205" s="85">
        <v>39703.31</v>
      </c>
      <c r="L1205" s="85">
        <v>38776.699999999997</v>
      </c>
      <c r="M1205" s="85">
        <v>39112.18</v>
      </c>
      <c r="N1205" s="123">
        <v>205637393</v>
      </c>
      <c r="O1205" s="112">
        <f t="shared" si="37"/>
        <v>-1.9449959887685497E-2</v>
      </c>
    </row>
    <row r="1206" spans="1:15">
      <c r="A1206" s="105">
        <v>44133</v>
      </c>
      <c r="B1206" s="85">
        <v>132.1</v>
      </c>
      <c r="C1206" s="85">
        <v>133.5</v>
      </c>
      <c r="D1206" s="85">
        <v>126.75</v>
      </c>
      <c r="E1206" s="85">
        <v>130.11000000000001</v>
      </c>
      <c r="F1206" s="85">
        <v>2206631</v>
      </c>
      <c r="G1206" s="112">
        <f t="shared" si="36"/>
        <v>-2.5393258426966159E-2</v>
      </c>
      <c r="I1206" s="105">
        <v>44133</v>
      </c>
      <c r="J1206" s="85">
        <v>41032.65</v>
      </c>
      <c r="K1206" s="85">
        <v>41033.129999999997</v>
      </c>
      <c r="L1206" s="85">
        <v>39275.43</v>
      </c>
      <c r="M1206" s="85">
        <v>39888</v>
      </c>
      <c r="N1206" s="123">
        <v>374814823</v>
      </c>
      <c r="O1206" s="112">
        <f t="shared" si="37"/>
        <v>-3.1535785927842008E-2</v>
      </c>
    </row>
    <row r="1207" spans="1:15">
      <c r="A1207" s="105">
        <v>44132</v>
      </c>
      <c r="B1207" s="85">
        <v>135.25</v>
      </c>
      <c r="C1207" s="85">
        <v>136.80000000000001</v>
      </c>
      <c r="D1207" s="85">
        <v>133.06</v>
      </c>
      <c r="E1207" s="85">
        <v>133.5</v>
      </c>
      <c r="F1207" s="85">
        <v>781060</v>
      </c>
      <c r="G1207" s="112">
        <f t="shared" si="36"/>
        <v>-1.220865704772478E-2</v>
      </c>
      <c r="I1207" s="105">
        <v>44132</v>
      </c>
      <c r="J1207" s="85">
        <v>41386.29</v>
      </c>
      <c r="K1207" s="85">
        <v>41695.81</v>
      </c>
      <c r="L1207" s="85">
        <v>41069.68</v>
      </c>
      <c r="M1207" s="85">
        <v>41186.86</v>
      </c>
      <c r="N1207" s="123">
        <v>258480059</v>
      </c>
      <c r="O1207" s="112">
        <f t="shared" si="37"/>
        <v>-4.711488109636508E-3</v>
      </c>
    </row>
    <row r="1208" spans="1:15">
      <c r="A1208" s="105">
        <v>44131</v>
      </c>
      <c r="B1208" s="85">
        <v>138.80000000000001</v>
      </c>
      <c r="C1208" s="85">
        <v>138.97999999999999</v>
      </c>
      <c r="D1208" s="85">
        <v>132.19999999999999</v>
      </c>
      <c r="E1208" s="85">
        <v>135.15</v>
      </c>
      <c r="F1208" s="85">
        <v>962602</v>
      </c>
      <c r="G1208" s="112">
        <f t="shared" si="36"/>
        <v>-2.6156506701253801E-2</v>
      </c>
      <c r="I1208" s="105">
        <v>44131</v>
      </c>
      <c r="J1208" s="85">
        <v>41879.370000000003</v>
      </c>
      <c r="K1208" s="85">
        <v>41927.68</v>
      </c>
      <c r="L1208" s="85">
        <v>41327.160000000003</v>
      </c>
      <c r="M1208" s="85">
        <v>41381.83</v>
      </c>
      <c r="N1208" s="123">
        <v>305460502</v>
      </c>
      <c r="O1208" s="112">
        <f t="shared" si="37"/>
        <v>-1.1197962651315452E-2</v>
      </c>
    </row>
    <row r="1209" spans="1:15">
      <c r="A1209" s="105">
        <v>44130</v>
      </c>
      <c r="B1209" s="85">
        <v>139.5</v>
      </c>
      <c r="C1209" s="85">
        <v>139.80000000000001</v>
      </c>
      <c r="D1209" s="85">
        <v>137.5</v>
      </c>
      <c r="E1209" s="85">
        <v>138.78</v>
      </c>
      <c r="F1209" s="85">
        <v>431583</v>
      </c>
      <c r="G1209" s="112">
        <f t="shared" si="36"/>
        <v>-1.5109000647529625E-3</v>
      </c>
      <c r="I1209" s="105">
        <v>44130</v>
      </c>
      <c r="J1209" s="85">
        <v>41370.019999999997</v>
      </c>
      <c r="K1209" s="85">
        <v>41876.79</v>
      </c>
      <c r="L1209" s="85">
        <v>41362.32</v>
      </c>
      <c r="M1209" s="85">
        <v>41850.47</v>
      </c>
      <c r="N1209" s="123">
        <v>285908457</v>
      </c>
      <c r="O1209" s="112">
        <f t="shared" si="37"/>
        <v>1.4163475985072393E-2</v>
      </c>
    </row>
    <row r="1210" spans="1:15">
      <c r="A1210" s="105">
        <v>44127</v>
      </c>
      <c r="B1210" s="85">
        <v>139.44999999999999</v>
      </c>
      <c r="C1210" s="85">
        <v>140.34</v>
      </c>
      <c r="D1210" s="85">
        <v>138.6</v>
      </c>
      <c r="E1210" s="85">
        <v>138.99</v>
      </c>
      <c r="F1210" s="85">
        <v>520121</v>
      </c>
      <c r="G1210" s="112">
        <f t="shared" si="36"/>
        <v>-9.3444508338125232E-4</v>
      </c>
      <c r="I1210" s="105">
        <v>44127</v>
      </c>
      <c r="J1210" s="85">
        <v>41302.31</v>
      </c>
      <c r="K1210" s="85">
        <v>41383.379999999997</v>
      </c>
      <c r="L1210" s="85">
        <v>41062.75</v>
      </c>
      <c r="M1210" s="85">
        <v>41266</v>
      </c>
      <c r="N1210" s="123">
        <v>220410918</v>
      </c>
      <c r="O1210" s="112">
        <f t="shared" si="37"/>
        <v>1.625766826492514E-3</v>
      </c>
    </row>
    <row r="1211" spans="1:15">
      <c r="A1211" s="105">
        <v>44126</v>
      </c>
      <c r="B1211" s="85">
        <v>140.5</v>
      </c>
      <c r="C1211" s="85">
        <v>141.5</v>
      </c>
      <c r="D1211" s="85">
        <v>138.15</v>
      </c>
      <c r="E1211" s="85">
        <v>139.12</v>
      </c>
      <c r="F1211" s="85">
        <v>1313611</v>
      </c>
      <c r="G1211" s="112">
        <f t="shared" si="36"/>
        <v>-3.6525102055431358E-3</v>
      </c>
      <c r="I1211" s="105">
        <v>44126</v>
      </c>
      <c r="J1211" s="85">
        <v>41587.61</v>
      </c>
      <c r="K1211" s="85">
        <v>41818.239999999998</v>
      </c>
      <c r="L1211" s="85">
        <v>41088.379999999997</v>
      </c>
      <c r="M1211" s="85">
        <v>41199.019999999997</v>
      </c>
      <c r="N1211" s="123">
        <v>348078249</v>
      </c>
      <c r="O1211" s="112">
        <f t="shared" si="37"/>
        <v>-8.1110518317639713E-3</v>
      </c>
    </row>
    <row r="1212" spans="1:15">
      <c r="A1212" s="105">
        <v>44125</v>
      </c>
      <c r="B1212" s="85">
        <v>139.07</v>
      </c>
      <c r="C1212" s="85">
        <v>140.15</v>
      </c>
      <c r="D1212" s="85">
        <v>138.52000000000001</v>
      </c>
      <c r="E1212" s="85">
        <v>139.63</v>
      </c>
      <c r="F1212" s="85">
        <v>652743</v>
      </c>
      <c r="G1212" s="112">
        <f t="shared" si="36"/>
        <v>-7.1612718418712085E-5</v>
      </c>
      <c r="I1212" s="105">
        <v>44125</v>
      </c>
      <c r="J1212" s="85">
        <v>41054.94</v>
      </c>
      <c r="K1212" s="85">
        <v>41613.050000000003</v>
      </c>
      <c r="L1212" s="85">
        <v>41031.32</v>
      </c>
      <c r="M1212" s="85">
        <v>41535.919999999998</v>
      </c>
      <c r="N1212" s="123">
        <v>398482820</v>
      </c>
      <c r="O1212" s="112">
        <f t="shared" si="37"/>
        <v>1.414522403970242E-2</v>
      </c>
    </row>
    <row r="1213" spans="1:15">
      <c r="A1213" s="105">
        <v>44124</v>
      </c>
      <c r="B1213" s="85">
        <v>137.11000000000001</v>
      </c>
      <c r="C1213" s="85">
        <v>140.35</v>
      </c>
      <c r="D1213" s="85">
        <v>137.11000000000001</v>
      </c>
      <c r="E1213" s="85">
        <v>139.63999999999999</v>
      </c>
      <c r="F1213" s="85">
        <v>2405767</v>
      </c>
      <c r="G1213" s="112">
        <f t="shared" si="36"/>
        <v>1.3279152456280308E-2</v>
      </c>
      <c r="I1213" s="105">
        <v>44124</v>
      </c>
      <c r="J1213" s="85">
        <v>40389.769999999997</v>
      </c>
      <c r="K1213" s="85">
        <v>41056.949999999997</v>
      </c>
      <c r="L1213" s="85">
        <v>40384.75</v>
      </c>
      <c r="M1213" s="85">
        <v>40956.58</v>
      </c>
      <c r="N1213" s="123">
        <v>323057725</v>
      </c>
      <c r="O1213" s="112">
        <f t="shared" si="37"/>
        <v>1.5280302487570063E-2</v>
      </c>
    </row>
    <row r="1214" spans="1:15">
      <c r="A1214" s="105">
        <v>44123</v>
      </c>
      <c r="B1214" s="85">
        <v>138.5</v>
      </c>
      <c r="C1214" s="85">
        <v>139.99</v>
      </c>
      <c r="D1214" s="85">
        <v>135.41999999999999</v>
      </c>
      <c r="E1214" s="85">
        <v>137.81</v>
      </c>
      <c r="F1214" s="85">
        <v>899791</v>
      </c>
      <c r="G1214" s="112">
        <f t="shared" si="36"/>
        <v>-5.7715893514177496E-3</v>
      </c>
      <c r="I1214" s="105">
        <v>44123</v>
      </c>
      <c r="J1214" s="85">
        <v>40168.44</v>
      </c>
      <c r="K1214" s="85">
        <v>40491.85</v>
      </c>
      <c r="L1214" s="85">
        <v>40075.919999999998</v>
      </c>
      <c r="M1214" s="85">
        <v>40340.17</v>
      </c>
      <c r="N1214" s="123">
        <v>182423521</v>
      </c>
      <c r="O1214" s="112">
        <f t="shared" si="37"/>
        <v>4.3857661658370795E-3</v>
      </c>
    </row>
    <row r="1215" spans="1:15">
      <c r="A1215" s="105">
        <v>44120</v>
      </c>
      <c r="B1215" s="85">
        <v>133.88</v>
      </c>
      <c r="C1215" s="85">
        <v>139.5</v>
      </c>
      <c r="D1215" s="85">
        <v>130.11000000000001</v>
      </c>
      <c r="E1215" s="85">
        <v>138.61000000000001</v>
      </c>
      <c r="F1215" s="85">
        <v>3578881</v>
      </c>
      <c r="G1215" s="112">
        <f t="shared" si="36"/>
        <v>4.5166641532197405E-2</v>
      </c>
      <c r="I1215" s="105">
        <v>44120</v>
      </c>
      <c r="J1215" s="85">
        <v>40097.74</v>
      </c>
      <c r="K1215" s="85">
        <v>40220.730000000003</v>
      </c>
      <c r="L1215" s="85">
        <v>39742.25</v>
      </c>
      <c r="M1215" s="85">
        <v>40164.019999999997</v>
      </c>
      <c r="N1215" s="123">
        <v>155497935</v>
      </c>
      <c r="O1215" s="112">
        <f t="shared" si="37"/>
        <v>2.3841677088405344E-3</v>
      </c>
    </row>
    <row r="1216" spans="1:15">
      <c r="A1216" s="105">
        <v>44119</v>
      </c>
      <c r="B1216" s="85">
        <v>134.35</v>
      </c>
      <c r="C1216" s="85">
        <v>135.80000000000001</v>
      </c>
      <c r="D1216" s="85">
        <v>132.16</v>
      </c>
      <c r="E1216" s="85">
        <v>132.62</v>
      </c>
      <c r="F1216" s="85">
        <v>526499</v>
      </c>
      <c r="G1216" s="112">
        <f t="shared" si="36"/>
        <v>-1.5149264815089825E-2</v>
      </c>
      <c r="I1216" s="105">
        <v>44119</v>
      </c>
      <c r="J1216" s="85">
        <v>40233.279999999999</v>
      </c>
      <c r="K1216" s="85">
        <v>40533.67</v>
      </c>
      <c r="L1216" s="85">
        <v>39999.160000000003</v>
      </c>
      <c r="M1216" s="85">
        <v>40068.49</v>
      </c>
      <c r="N1216" s="123">
        <v>211930940</v>
      </c>
      <c r="O1216" s="112">
        <f t="shared" si="37"/>
        <v>-1.8881888308400763E-3</v>
      </c>
    </row>
    <row r="1217" spans="1:15">
      <c r="A1217" s="105">
        <v>44118</v>
      </c>
      <c r="B1217" s="85">
        <v>135</v>
      </c>
      <c r="C1217" s="85">
        <v>135</v>
      </c>
      <c r="D1217" s="85">
        <v>133.25</v>
      </c>
      <c r="E1217" s="85">
        <v>134.66</v>
      </c>
      <c r="F1217" s="85">
        <v>201250</v>
      </c>
      <c r="G1217" s="112">
        <f t="shared" si="36"/>
        <v>-5.19557633786083E-4</v>
      </c>
      <c r="I1217" s="105">
        <v>44118</v>
      </c>
      <c r="J1217" s="85">
        <v>40062.980000000003</v>
      </c>
      <c r="K1217" s="85">
        <v>40183.870000000003</v>
      </c>
      <c r="L1217" s="85">
        <v>39840.35</v>
      </c>
      <c r="M1217" s="85">
        <v>40144.29</v>
      </c>
      <c r="N1217" s="123">
        <v>156592822</v>
      </c>
      <c r="O1217" s="112">
        <f t="shared" si="37"/>
        <v>3.4399263922741952E-3</v>
      </c>
    </row>
    <row r="1218" spans="1:15">
      <c r="A1218" s="105">
        <v>44117</v>
      </c>
      <c r="B1218" s="85">
        <v>134.44</v>
      </c>
      <c r="C1218" s="85">
        <v>135.69</v>
      </c>
      <c r="D1218" s="85">
        <v>132.75</v>
      </c>
      <c r="E1218" s="85">
        <v>134.72999999999999</v>
      </c>
      <c r="F1218" s="85">
        <v>622391</v>
      </c>
      <c r="G1218" s="112">
        <f t="shared" si="36"/>
        <v>7.7038145100971622E-3</v>
      </c>
      <c r="I1218" s="105">
        <v>44117</v>
      </c>
      <c r="J1218" s="85">
        <v>40202.75</v>
      </c>
      <c r="K1218" s="85">
        <v>40301.360000000001</v>
      </c>
      <c r="L1218" s="85">
        <v>39645.730000000003</v>
      </c>
      <c r="M1218" s="85">
        <v>40006.67</v>
      </c>
      <c r="N1218" s="123">
        <v>195242747</v>
      </c>
      <c r="O1218" s="112">
        <f t="shared" si="37"/>
        <v>-5.0522484308559434E-3</v>
      </c>
    </row>
    <row r="1219" spans="1:15">
      <c r="A1219" s="105">
        <v>44116</v>
      </c>
      <c r="B1219" s="85">
        <v>136.65</v>
      </c>
      <c r="C1219" s="85">
        <v>138.30000000000001</v>
      </c>
      <c r="D1219" s="85">
        <v>133</v>
      </c>
      <c r="E1219" s="85">
        <v>133.69999999999999</v>
      </c>
      <c r="F1219" s="85">
        <v>1084637</v>
      </c>
      <c r="G1219" s="112">
        <f t="shared" si="36"/>
        <v>-1.6911764705882404E-2</v>
      </c>
      <c r="I1219" s="105">
        <v>44116</v>
      </c>
      <c r="J1219" s="85">
        <v>40822.71</v>
      </c>
      <c r="K1219" s="85">
        <v>41052.03</v>
      </c>
      <c r="L1219" s="85">
        <v>40149.06</v>
      </c>
      <c r="M1219" s="85">
        <v>40209.82</v>
      </c>
      <c r="N1219" s="123">
        <v>217242102</v>
      </c>
      <c r="O1219" s="112">
        <f t="shared" si="37"/>
        <v>-1.4427270853314744E-2</v>
      </c>
    </row>
    <row r="1220" spans="1:15">
      <c r="A1220" s="105">
        <v>44113</v>
      </c>
      <c r="B1220" s="85">
        <v>132.85</v>
      </c>
      <c r="C1220" s="85">
        <v>136.85</v>
      </c>
      <c r="D1220" s="85">
        <v>131.30000000000001</v>
      </c>
      <c r="E1220" s="85">
        <v>136</v>
      </c>
      <c r="F1220" s="85">
        <v>849739</v>
      </c>
      <c r="G1220" s="112">
        <f t="shared" ref="G1220:G1238" si="38">E1220/E1221-1</f>
        <v>2.8977831580540236E-2</v>
      </c>
      <c r="I1220" s="105">
        <v>44113</v>
      </c>
      <c r="J1220" s="85">
        <v>40370.82</v>
      </c>
      <c r="K1220" s="85">
        <v>40840.57</v>
      </c>
      <c r="L1220" s="85">
        <v>40304.839999999997</v>
      </c>
      <c r="M1220" s="85">
        <v>40798.43</v>
      </c>
      <c r="N1220" s="123">
        <v>240643496</v>
      </c>
      <c r="O1220" s="112">
        <f t="shared" ref="O1220:O1238" si="39">M1220/M1221-1</f>
        <v>1.1022802910866325E-2</v>
      </c>
    </row>
    <row r="1221" spans="1:15">
      <c r="A1221" s="105">
        <v>44112</v>
      </c>
      <c r="B1221" s="85">
        <v>130.9</v>
      </c>
      <c r="C1221" s="85">
        <v>132.9</v>
      </c>
      <c r="D1221" s="85">
        <v>129.1</v>
      </c>
      <c r="E1221" s="85">
        <v>132.16999999999999</v>
      </c>
      <c r="F1221" s="85">
        <v>375319</v>
      </c>
      <c r="G1221" s="112">
        <f t="shared" si="38"/>
        <v>1.3185128401686397E-2</v>
      </c>
      <c r="I1221" s="105">
        <v>44112</v>
      </c>
      <c r="J1221" s="85">
        <v>39953.82</v>
      </c>
      <c r="K1221" s="85">
        <v>40414.230000000003</v>
      </c>
      <c r="L1221" s="85">
        <v>39865.93</v>
      </c>
      <c r="M1221" s="85">
        <v>40353.620000000003</v>
      </c>
      <c r="N1221" s="123">
        <v>355090222</v>
      </c>
      <c r="O1221" s="112">
        <f t="shared" si="39"/>
        <v>1.2638908545955951E-2</v>
      </c>
    </row>
    <row r="1222" spans="1:15">
      <c r="A1222" s="105">
        <v>44111</v>
      </c>
      <c r="B1222" s="85">
        <v>131.74</v>
      </c>
      <c r="C1222" s="85">
        <v>132</v>
      </c>
      <c r="D1222" s="85">
        <v>128.5</v>
      </c>
      <c r="E1222" s="85">
        <v>130.44999999999999</v>
      </c>
      <c r="F1222" s="85">
        <v>523146</v>
      </c>
      <c r="G1222" s="112">
        <f t="shared" si="38"/>
        <v>1.1161925432137121E-2</v>
      </c>
      <c r="I1222" s="105">
        <v>44111</v>
      </c>
      <c r="J1222" s="85">
        <v>39233.86</v>
      </c>
      <c r="K1222" s="85">
        <v>39920.800000000003</v>
      </c>
      <c r="L1222" s="85">
        <v>39160.14</v>
      </c>
      <c r="M1222" s="85">
        <v>39849.96</v>
      </c>
      <c r="N1222" s="123">
        <v>270114188</v>
      </c>
      <c r="O1222" s="112">
        <f t="shared" si="39"/>
        <v>1.8464772073233382E-2</v>
      </c>
    </row>
    <row r="1223" spans="1:15">
      <c r="A1223" s="105">
        <v>44110</v>
      </c>
      <c r="B1223" s="85">
        <v>130</v>
      </c>
      <c r="C1223" s="85">
        <v>130.9</v>
      </c>
      <c r="D1223" s="85">
        <v>126.6</v>
      </c>
      <c r="E1223" s="85">
        <v>129.01</v>
      </c>
      <c r="F1223" s="85">
        <v>387174</v>
      </c>
      <c r="G1223" s="112">
        <f t="shared" si="38"/>
        <v>-4.6292724326828516E-3</v>
      </c>
      <c r="I1223" s="105">
        <v>44110</v>
      </c>
      <c r="J1223" s="85">
        <v>39134.03</v>
      </c>
      <c r="K1223" s="85">
        <v>39349.29</v>
      </c>
      <c r="L1223" s="85">
        <v>38568.949999999997</v>
      </c>
      <c r="M1223" s="85">
        <v>39127.480000000003</v>
      </c>
      <c r="N1223" s="123">
        <v>274463845</v>
      </c>
      <c r="O1223" s="112">
        <f t="shared" si="39"/>
        <v>1.4078966597197429E-3</v>
      </c>
    </row>
    <row r="1224" spans="1:15">
      <c r="A1224" s="105">
        <v>44109</v>
      </c>
      <c r="B1224" s="85">
        <v>131.88</v>
      </c>
      <c r="C1224" s="85">
        <v>131.88</v>
      </c>
      <c r="D1224" s="85">
        <v>128</v>
      </c>
      <c r="E1224" s="85">
        <v>129.61000000000001</v>
      </c>
      <c r="F1224" s="85">
        <v>514826</v>
      </c>
      <c r="G1224" s="112">
        <f t="shared" si="38"/>
        <v>-1.0912698412698263E-2</v>
      </c>
      <c r="I1224" s="105">
        <v>44109</v>
      </c>
      <c r="J1224" s="85">
        <v>40029.11</v>
      </c>
      <c r="K1224" s="85">
        <v>40029.11</v>
      </c>
      <c r="L1224" s="85">
        <v>38864.769999999997</v>
      </c>
      <c r="M1224" s="85">
        <v>39072.47</v>
      </c>
      <c r="N1224" s="123">
        <v>277944438</v>
      </c>
      <c r="O1224" s="112">
        <f t="shared" si="39"/>
        <v>-2.4914881972746827E-2</v>
      </c>
    </row>
    <row r="1225" spans="1:15">
      <c r="A1225" s="105">
        <v>44106</v>
      </c>
      <c r="B1225" s="85">
        <v>133</v>
      </c>
      <c r="C1225" s="85">
        <v>134.5</v>
      </c>
      <c r="D1225" s="85">
        <v>130.5</v>
      </c>
      <c r="E1225" s="85">
        <v>131.04</v>
      </c>
      <c r="F1225" s="85">
        <v>479944</v>
      </c>
      <c r="G1225" s="112">
        <f t="shared" si="38"/>
        <v>-1.154107264086901E-2</v>
      </c>
      <c r="I1225" s="105">
        <v>44106</v>
      </c>
      <c r="J1225" s="85">
        <v>40655.870000000003</v>
      </c>
      <c r="K1225" s="85">
        <v>40844.29</v>
      </c>
      <c r="L1225" s="85">
        <v>39902.28</v>
      </c>
      <c r="M1225" s="85">
        <v>40070.83</v>
      </c>
      <c r="N1225" s="123">
        <v>255943110</v>
      </c>
      <c r="O1225" s="112">
        <f t="shared" si="39"/>
        <v>-1.4900095680793868E-2</v>
      </c>
    </row>
    <row r="1226" spans="1:15">
      <c r="A1226" s="105">
        <v>44105</v>
      </c>
      <c r="B1226" s="85">
        <v>130</v>
      </c>
      <c r="C1226" s="85">
        <v>134.34</v>
      </c>
      <c r="D1226" s="85">
        <v>130</v>
      </c>
      <c r="E1226" s="85">
        <v>132.57</v>
      </c>
      <c r="F1226" s="85">
        <v>682516</v>
      </c>
      <c r="G1226" s="112">
        <f t="shared" si="38"/>
        <v>1.3997246443322453E-2</v>
      </c>
      <c r="I1226" s="105">
        <v>44105</v>
      </c>
      <c r="J1226" s="85">
        <v>40521.93</v>
      </c>
      <c r="K1226" s="85">
        <v>40739.089999999997</v>
      </c>
      <c r="L1226" s="85">
        <v>40112.29</v>
      </c>
      <c r="M1226" s="85">
        <v>40676.92</v>
      </c>
      <c r="N1226" s="123">
        <v>268423355</v>
      </c>
      <c r="O1226" s="112">
        <f t="shared" si="39"/>
        <v>2.5988699450942843E-3</v>
      </c>
    </row>
    <row r="1227" spans="1:15">
      <c r="A1227" s="105">
        <v>44104</v>
      </c>
      <c r="B1227" s="85">
        <v>131.9</v>
      </c>
      <c r="C1227" s="85">
        <v>132.1</v>
      </c>
      <c r="D1227" s="85">
        <v>129.02000000000001</v>
      </c>
      <c r="E1227" s="85">
        <v>130.74</v>
      </c>
      <c r="F1227" s="85">
        <v>818892</v>
      </c>
      <c r="G1227" s="112">
        <f t="shared" si="38"/>
        <v>3.7619961612285202E-3</v>
      </c>
      <c r="I1227" s="105">
        <v>44104</v>
      </c>
      <c r="J1227" s="85">
        <v>41285.160000000003</v>
      </c>
      <c r="K1227" s="85">
        <v>41439.61</v>
      </c>
      <c r="L1227" s="85">
        <v>40494.9</v>
      </c>
      <c r="M1227" s="85">
        <v>40571.480000000003</v>
      </c>
      <c r="N1227" s="123">
        <v>336699094</v>
      </c>
      <c r="O1227" s="112">
        <f t="shared" si="39"/>
        <v>-1.5359539621535134E-2</v>
      </c>
    </row>
    <row r="1228" spans="1:15">
      <c r="A1228" s="105">
        <v>44103</v>
      </c>
      <c r="B1228" s="85">
        <v>127.84</v>
      </c>
      <c r="C1228" s="85">
        <v>131.72</v>
      </c>
      <c r="D1228" s="85">
        <v>125.25</v>
      </c>
      <c r="E1228" s="85">
        <v>130.25</v>
      </c>
      <c r="F1228" s="85">
        <v>445919</v>
      </c>
      <c r="G1228" s="112">
        <f t="shared" si="38"/>
        <v>9.2987214258037909E-3</v>
      </c>
      <c r="I1228" s="105">
        <v>44103</v>
      </c>
      <c r="J1228" s="85">
        <v>40694.839999999997</v>
      </c>
      <c r="K1228" s="85">
        <v>41445.47</v>
      </c>
      <c r="L1228" s="85">
        <v>40389.800000000003</v>
      </c>
      <c r="M1228" s="85">
        <v>41204.36</v>
      </c>
      <c r="N1228" s="123">
        <v>243683541</v>
      </c>
      <c r="O1228" s="112">
        <f t="shared" si="39"/>
        <v>1.1374550667080818E-2</v>
      </c>
    </row>
    <row r="1229" spans="1:15">
      <c r="A1229" s="105">
        <v>44102</v>
      </c>
      <c r="B1229" s="85">
        <v>133.44</v>
      </c>
      <c r="C1229" s="85">
        <v>134</v>
      </c>
      <c r="D1229" s="85">
        <v>127.32</v>
      </c>
      <c r="E1229" s="85">
        <v>129.05000000000001</v>
      </c>
      <c r="F1229" s="85">
        <v>807471</v>
      </c>
      <c r="G1229" s="112">
        <f t="shared" si="38"/>
        <v>-3.5572827142963837E-2</v>
      </c>
      <c r="I1229" s="105">
        <v>44102</v>
      </c>
      <c r="J1229" s="85">
        <v>41723.82</v>
      </c>
      <c r="K1229" s="85">
        <v>41785.730000000003</v>
      </c>
      <c r="L1229" s="85">
        <v>40640.22</v>
      </c>
      <c r="M1229" s="85">
        <v>40740.949999999997</v>
      </c>
      <c r="N1229" s="123">
        <v>282068039</v>
      </c>
      <c r="O1229" s="112">
        <f t="shared" si="39"/>
        <v>-2.3027618130208816E-2</v>
      </c>
    </row>
    <row r="1230" spans="1:15">
      <c r="A1230" s="105">
        <v>44099</v>
      </c>
      <c r="B1230" s="85">
        <v>132</v>
      </c>
      <c r="C1230" s="85">
        <v>134.4</v>
      </c>
      <c r="D1230" s="85">
        <v>130.71</v>
      </c>
      <c r="E1230" s="85">
        <v>133.81</v>
      </c>
      <c r="F1230" s="85">
        <v>546930</v>
      </c>
      <c r="G1230" s="112">
        <f t="shared" si="38"/>
        <v>1.3865737232914066E-2</v>
      </c>
      <c r="I1230" s="105">
        <v>44099</v>
      </c>
      <c r="J1230" s="85">
        <v>41805.230000000003</v>
      </c>
      <c r="K1230" s="85">
        <v>42100.73</v>
      </c>
      <c r="L1230" s="85">
        <v>41601.94</v>
      </c>
      <c r="M1230" s="85">
        <v>41701.230000000003</v>
      </c>
      <c r="N1230" s="123">
        <v>314270954</v>
      </c>
      <c r="O1230" s="112">
        <f t="shared" si="39"/>
        <v>-2.5149277490487121E-3</v>
      </c>
    </row>
    <row r="1231" spans="1:15">
      <c r="A1231" s="105">
        <v>44098</v>
      </c>
      <c r="B1231" s="85">
        <v>132.99</v>
      </c>
      <c r="C1231" s="85">
        <v>132.99</v>
      </c>
      <c r="D1231" s="85">
        <v>130.6</v>
      </c>
      <c r="E1231" s="85">
        <v>131.97999999999999</v>
      </c>
      <c r="F1231" s="85">
        <v>641821</v>
      </c>
      <c r="G1231" s="112">
        <f t="shared" si="38"/>
        <v>2.3543707754234422E-3</v>
      </c>
      <c r="I1231" s="105">
        <v>44098</v>
      </c>
      <c r="J1231" s="85">
        <v>41900.33</v>
      </c>
      <c r="K1231" s="85">
        <v>41942.35</v>
      </c>
      <c r="L1231" s="85">
        <v>41416.9</v>
      </c>
      <c r="M1231" s="85">
        <v>41806.370000000003</v>
      </c>
      <c r="N1231" s="123">
        <v>272439781</v>
      </c>
      <c r="O1231" s="112">
        <f t="shared" si="39"/>
        <v>-1.6689647069724201E-3</v>
      </c>
    </row>
    <row r="1232" spans="1:15">
      <c r="A1232" s="105">
        <v>44097</v>
      </c>
      <c r="B1232" s="85">
        <v>130.5</v>
      </c>
      <c r="C1232" s="85">
        <v>133.31</v>
      </c>
      <c r="D1232" s="85">
        <v>130.5</v>
      </c>
      <c r="E1232" s="85">
        <v>131.66999999999999</v>
      </c>
      <c r="F1232" s="85">
        <v>287716</v>
      </c>
      <c r="G1232" s="112">
        <f t="shared" si="38"/>
        <v>2.6652452025586193E-3</v>
      </c>
      <c r="I1232" s="105">
        <v>44097</v>
      </c>
      <c r="J1232" s="85">
        <v>41869.18</v>
      </c>
      <c r="K1232" s="85">
        <v>42023.06</v>
      </c>
      <c r="L1232" s="85">
        <v>41753.4</v>
      </c>
      <c r="M1232" s="85">
        <v>41876.26</v>
      </c>
      <c r="N1232" s="123">
        <v>251509954</v>
      </c>
      <c r="O1232" s="112">
        <f t="shared" si="39"/>
        <v>1.1319922034784824E-3</v>
      </c>
    </row>
    <row r="1233" spans="1:15">
      <c r="A1233" s="105">
        <v>44096</v>
      </c>
      <c r="B1233" s="85">
        <v>131.99</v>
      </c>
      <c r="C1233" s="85">
        <v>132.4</v>
      </c>
      <c r="D1233" s="85">
        <v>130.80000000000001</v>
      </c>
      <c r="E1233" s="85">
        <v>131.32</v>
      </c>
      <c r="F1233" s="85">
        <v>508364</v>
      </c>
      <c r="G1233" s="112">
        <f t="shared" si="38"/>
        <v>-1.2408814018199599E-2</v>
      </c>
      <c r="I1233" s="105">
        <v>44096</v>
      </c>
      <c r="J1233" s="85">
        <v>42115.94</v>
      </c>
      <c r="K1233" s="85">
        <v>42161.24</v>
      </c>
      <c r="L1233" s="85">
        <v>41672.449999999997</v>
      </c>
      <c r="M1233" s="85">
        <v>41828.910000000003</v>
      </c>
      <c r="N1233" s="123">
        <v>249981533</v>
      </c>
      <c r="O1233" s="112">
        <f t="shared" si="39"/>
        <v>-8.1855867566205109E-3</v>
      </c>
    </row>
    <row r="1234" spans="1:15">
      <c r="A1234" s="105">
        <v>44095</v>
      </c>
      <c r="B1234" s="85">
        <v>134.49</v>
      </c>
      <c r="C1234" s="85">
        <v>134.49</v>
      </c>
      <c r="D1234" s="85">
        <v>132.51</v>
      </c>
      <c r="E1234" s="85">
        <v>132.97</v>
      </c>
      <c r="F1234" s="85">
        <v>231696</v>
      </c>
      <c r="G1234" s="112">
        <f t="shared" si="38"/>
        <v>-9.3130680971539315E-3</v>
      </c>
      <c r="I1234" s="105">
        <v>44095</v>
      </c>
      <c r="J1234" s="85">
        <v>42524.17</v>
      </c>
      <c r="K1234" s="85">
        <v>42553.23</v>
      </c>
      <c r="L1234" s="85">
        <v>42120.88</v>
      </c>
      <c r="M1234" s="85">
        <v>42174.13</v>
      </c>
      <c r="N1234" s="123">
        <v>231106009</v>
      </c>
      <c r="O1234" s="112">
        <f t="shared" si="39"/>
        <v>-7.7786582020461514E-3</v>
      </c>
    </row>
    <row r="1235" spans="1:15">
      <c r="A1235" s="105">
        <v>44092</v>
      </c>
      <c r="B1235" s="85">
        <v>134</v>
      </c>
      <c r="C1235" s="85">
        <v>135</v>
      </c>
      <c r="D1235" s="85">
        <v>132.5</v>
      </c>
      <c r="E1235" s="85">
        <v>134.22</v>
      </c>
      <c r="F1235" s="85">
        <v>1110632</v>
      </c>
      <c r="G1235" s="112">
        <f t="shared" si="38"/>
        <v>3.4389952153111025E-3</v>
      </c>
      <c r="I1235" s="105">
        <v>44092</v>
      </c>
      <c r="J1235" s="85">
        <v>42371.360000000001</v>
      </c>
      <c r="K1235" s="85">
        <v>42554.84</v>
      </c>
      <c r="L1235" s="85">
        <v>42234.38</v>
      </c>
      <c r="M1235" s="85">
        <v>42504.76</v>
      </c>
      <c r="N1235" s="123">
        <v>331721308</v>
      </c>
      <c r="O1235" s="112">
        <f t="shared" si="39"/>
        <v>4.0156127021861998E-3</v>
      </c>
    </row>
    <row r="1236" spans="1:15">
      <c r="A1236" s="105">
        <v>44091</v>
      </c>
      <c r="B1236" s="85">
        <v>134.88999999999999</v>
      </c>
      <c r="C1236" s="85">
        <v>134.9</v>
      </c>
      <c r="D1236" s="85">
        <v>133.1</v>
      </c>
      <c r="E1236" s="85">
        <v>133.76</v>
      </c>
      <c r="F1236" s="85">
        <v>608454</v>
      </c>
      <c r="G1236" s="112">
        <f t="shared" si="38"/>
        <v>-1.4949917775464172E-4</v>
      </c>
      <c r="I1236" s="105">
        <v>44091</v>
      </c>
      <c r="J1236" s="85">
        <v>42475.17</v>
      </c>
      <c r="K1236" s="85">
        <v>42632.41</v>
      </c>
      <c r="L1236" s="85">
        <v>42276.59</v>
      </c>
      <c r="M1236" s="85">
        <v>42334.76</v>
      </c>
      <c r="N1236" s="123">
        <v>324373187</v>
      </c>
      <c r="O1236" s="112">
        <f t="shared" si="39"/>
        <v>1.2411818851774115E-3</v>
      </c>
    </row>
    <row r="1237" spans="1:15">
      <c r="A1237" s="105">
        <v>44090</v>
      </c>
      <c r="B1237" s="85">
        <v>135.13</v>
      </c>
      <c r="C1237" s="85">
        <v>135.85</v>
      </c>
      <c r="D1237" s="85">
        <v>133.15</v>
      </c>
      <c r="E1237" s="85">
        <v>133.78</v>
      </c>
      <c r="F1237" s="85">
        <v>547283</v>
      </c>
      <c r="G1237" s="112">
        <f t="shared" si="38"/>
        <v>-1.2620857627869242E-2</v>
      </c>
      <c r="I1237" s="105">
        <v>44090</v>
      </c>
      <c r="J1237" s="85">
        <v>42442.15</v>
      </c>
      <c r="K1237" s="85">
        <v>42544.87</v>
      </c>
      <c r="L1237" s="85">
        <v>42088.12</v>
      </c>
      <c r="M1237" s="85">
        <v>42282.28</v>
      </c>
      <c r="N1237" s="123">
        <v>300270901</v>
      </c>
      <c r="O1237" s="112">
        <f t="shared" si="39"/>
        <v>-1.5146498806746234E-3</v>
      </c>
    </row>
    <row r="1238" spans="1:15">
      <c r="A1238" s="105">
        <v>44089</v>
      </c>
      <c r="B1238" s="85">
        <v>136</v>
      </c>
      <c r="C1238" s="85">
        <v>137.5</v>
      </c>
      <c r="D1238" s="85">
        <v>135.1</v>
      </c>
      <c r="E1238" s="85">
        <v>135.49</v>
      </c>
      <c r="F1238" s="85">
        <v>390990</v>
      </c>
      <c r="G1238" s="112">
        <f t="shared" si="38"/>
        <v>-8.8514996342353713E-3</v>
      </c>
      <c r="I1238" s="105">
        <v>44089</v>
      </c>
      <c r="J1238" s="85">
        <v>42594.98</v>
      </c>
      <c r="K1238" s="85">
        <v>42831.01</v>
      </c>
      <c r="L1238" s="85">
        <v>42263.22</v>
      </c>
      <c r="M1238" s="85">
        <v>42346.42</v>
      </c>
      <c r="N1238" s="123">
        <v>411064768</v>
      </c>
      <c r="O1238" s="112">
        <f t="shared" si="39"/>
        <v>-4.3471503699274994E-3</v>
      </c>
    </row>
    <row r="1239" spans="1:15">
      <c r="A1239" s="105">
        <v>44088</v>
      </c>
      <c r="B1239" s="85">
        <v>136</v>
      </c>
      <c r="C1239" s="85">
        <v>137.02000000000001</v>
      </c>
      <c r="D1239" s="85">
        <v>135.26</v>
      </c>
      <c r="E1239" s="85">
        <v>136.69999999999999</v>
      </c>
      <c r="F1239" s="85">
        <v>436151</v>
      </c>
      <c r="G1239" s="112"/>
      <c r="I1239" s="105">
        <v>44088</v>
      </c>
      <c r="J1239" s="85">
        <v>42631.77</v>
      </c>
      <c r="K1239" s="85">
        <v>42722.59</v>
      </c>
      <c r="L1239" s="85">
        <v>42367.81</v>
      </c>
      <c r="M1239" s="85">
        <v>42531.31</v>
      </c>
      <c r="N1239" s="123">
        <v>289623250</v>
      </c>
      <c r="O1239" s="1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00857-3D74-4B7E-996C-5F1B0ACF851C}">
  <dimension ref="A1:I18"/>
  <sheetViews>
    <sheetView workbookViewId="0">
      <selection activeCell="C8" sqref="C8"/>
    </sheetView>
  </sheetViews>
  <sheetFormatPr defaultRowHeight="14.45"/>
  <sheetData>
    <row r="1" spans="1:9">
      <c r="A1" t="s">
        <v>1581</v>
      </c>
    </row>
    <row r="2" spans="1:9" ht="15" thickBot="1"/>
    <row r="3" spans="1:9">
      <c r="A3" s="109" t="s">
        <v>1582</v>
      </c>
      <c r="B3" s="109"/>
    </row>
    <row r="4" spans="1:9">
      <c r="A4" t="s">
        <v>1583</v>
      </c>
      <c r="B4">
        <v>0.59477421142377174</v>
      </c>
    </row>
    <row r="5" spans="1:9">
      <c r="A5" t="s">
        <v>1584</v>
      </c>
      <c r="B5">
        <v>0.3537563625747695</v>
      </c>
    </row>
    <row r="6" spans="1:9">
      <c r="A6" t="s">
        <v>1585</v>
      </c>
      <c r="B6">
        <v>0.35323266432726119</v>
      </c>
    </row>
    <row r="7" spans="1:9">
      <c r="A7" t="s">
        <v>1586</v>
      </c>
      <c r="B7">
        <v>1.5501447071479714E-2</v>
      </c>
    </row>
    <row r="8" spans="1:9" ht="15" thickBot="1">
      <c r="A8" s="107" t="s">
        <v>1587</v>
      </c>
      <c r="B8" s="107">
        <v>1236</v>
      </c>
    </row>
    <row r="10" spans="1:9" ht="15" thickBot="1">
      <c r="A10" t="s">
        <v>1588</v>
      </c>
    </row>
    <row r="11" spans="1:9">
      <c r="A11" s="108"/>
      <c r="B11" s="108" t="s">
        <v>1589</v>
      </c>
      <c r="C11" s="108" t="s">
        <v>1590</v>
      </c>
      <c r="D11" s="108" t="s">
        <v>1591</v>
      </c>
      <c r="E11" s="108" t="s">
        <v>1592</v>
      </c>
      <c r="F11" s="108" t="s">
        <v>1593</v>
      </c>
    </row>
    <row r="12" spans="1:9">
      <c r="A12" t="s">
        <v>1594</v>
      </c>
      <c r="B12">
        <v>1</v>
      </c>
      <c r="C12">
        <v>0.16231835123918115</v>
      </c>
      <c r="D12">
        <v>0.16231835123918115</v>
      </c>
      <c r="E12">
        <v>675.49655599939592</v>
      </c>
      <c r="F12">
        <v>3.9419196596090923E-119</v>
      </c>
    </row>
    <row r="13" spans="1:9">
      <c r="A13" t="s">
        <v>1595</v>
      </c>
      <c r="B13">
        <v>1234</v>
      </c>
      <c r="C13">
        <v>0.29652385885640054</v>
      </c>
      <c r="D13">
        <v>2.4029486130988699E-4</v>
      </c>
    </row>
    <row r="14" spans="1:9" ht="15" thickBot="1">
      <c r="A14" s="107" t="s">
        <v>112</v>
      </c>
      <c r="B14" s="107">
        <v>1235</v>
      </c>
      <c r="C14" s="107">
        <v>0.45884221009558168</v>
      </c>
      <c r="D14" s="107"/>
      <c r="E14" s="107"/>
      <c r="F14" s="107"/>
    </row>
    <row r="15" spans="1:9" ht="15" thickBot="1"/>
    <row r="16" spans="1:9">
      <c r="A16" s="108"/>
      <c r="B16" s="108" t="s">
        <v>1596</v>
      </c>
      <c r="C16" s="108" t="s">
        <v>1586</v>
      </c>
      <c r="D16" s="108" t="s">
        <v>1597</v>
      </c>
      <c r="E16" s="108" t="s">
        <v>1598</v>
      </c>
      <c r="F16" s="108" t="s">
        <v>1599</v>
      </c>
      <c r="G16" s="108" t="s">
        <v>1600</v>
      </c>
      <c r="H16" s="108" t="s">
        <v>1601</v>
      </c>
      <c r="I16" s="108" t="s">
        <v>1602</v>
      </c>
    </row>
    <row r="17" spans="1:9">
      <c r="A17" t="s">
        <v>1603</v>
      </c>
      <c r="B17">
        <v>-4.5662721261664459E-4</v>
      </c>
      <c r="C17">
        <v>4.4313760263774469E-4</v>
      </c>
      <c r="D17">
        <v>-1.0304411313745527</v>
      </c>
      <c r="E17">
        <v>0.30300489275563824</v>
      </c>
      <c r="F17">
        <v>-1.326013674328874E-3</v>
      </c>
      <c r="G17">
        <v>4.1275924909558493E-4</v>
      </c>
      <c r="H17">
        <v>-1.326013674328874E-3</v>
      </c>
      <c r="I17">
        <v>4.1275924909558493E-4</v>
      </c>
    </row>
    <row r="18" spans="1:9" ht="15" thickBot="1">
      <c r="A18" s="107" t="s">
        <v>1604</v>
      </c>
      <c r="B18" s="107">
        <v>1.041406898051134</v>
      </c>
      <c r="C18" s="107">
        <v>4.0069034741883849E-2</v>
      </c>
      <c r="D18" s="107">
        <v>25.990316581361505</v>
      </c>
      <c r="E18" s="107">
        <v>3.9419196596106646E-119</v>
      </c>
      <c r="F18" s="107">
        <v>0.96279592906291189</v>
      </c>
      <c r="G18" s="107">
        <v>1.1200178670393559</v>
      </c>
      <c r="H18" s="107">
        <v>0.96279592906291189</v>
      </c>
      <c r="I18" s="107">
        <v>1.1200178670393559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883FC-01D8-423C-BC11-DD8C5200087B}">
  <dimension ref="A1:N259"/>
  <sheetViews>
    <sheetView showGridLines="0" workbookViewId="0">
      <selection activeCell="C8" sqref="C8"/>
    </sheetView>
  </sheetViews>
  <sheetFormatPr defaultRowHeight="14.45"/>
  <cols>
    <col min="1" max="1" width="20.85546875" customWidth="1"/>
    <col min="6" max="6" width="10.140625" bestFit="1" customWidth="1"/>
    <col min="7" max="7" width="10.140625" style="113" bestFit="1" customWidth="1"/>
    <col min="9" max="9" width="10.28515625" bestFit="1" customWidth="1"/>
    <col min="14" max="14" width="8.85546875" style="113"/>
  </cols>
  <sheetData>
    <row r="1" spans="1:14">
      <c r="A1" s="71" t="s">
        <v>420</v>
      </c>
      <c r="B1" s="71"/>
      <c r="C1" s="71"/>
      <c r="D1" s="71"/>
      <c r="E1" s="71"/>
      <c r="F1" s="71"/>
      <c r="G1" s="110"/>
      <c r="I1" s="71" t="s">
        <v>1574</v>
      </c>
      <c r="J1" s="71"/>
      <c r="K1" s="71"/>
      <c r="L1" s="71"/>
      <c r="M1" s="71"/>
      <c r="N1" s="110"/>
    </row>
    <row r="2" spans="1:14" ht="28.9">
      <c r="A2" s="102" t="s">
        <v>399</v>
      </c>
      <c r="B2" s="102" t="s">
        <v>1575</v>
      </c>
      <c r="C2" s="102" t="s">
        <v>1576</v>
      </c>
      <c r="D2" s="102" t="s">
        <v>1577</v>
      </c>
      <c r="E2" s="102" t="s">
        <v>1578</v>
      </c>
      <c r="F2" s="102" t="s">
        <v>1579</v>
      </c>
      <c r="G2" s="111" t="s">
        <v>1580</v>
      </c>
      <c r="I2" s="102" t="s">
        <v>399</v>
      </c>
      <c r="J2" s="102" t="s">
        <v>1575</v>
      </c>
      <c r="K2" s="102" t="s">
        <v>1576</v>
      </c>
      <c r="L2" s="102" t="s">
        <v>1577</v>
      </c>
      <c r="M2" s="102" t="s">
        <v>1578</v>
      </c>
      <c r="N2" s="111" t="s">
        <v>1580</v>
      </c>
    </row>
    <row r="3" spans="1:14">
      <c r="A3" s="103" t="s">
        <v>1605</v>
      </c>
      <c r="B3" s="103">
        <v>260</v>
      </c>
      <c r="C3" s="103">
        <v>268</v>
      </c>
      <c r="D3" s="103">
        <v>255.8</v>
      </c>
      <c r="E3" s="103">
        <v>256.74</v>
      </c>
      <c r="F3" s="104">
        <v>8432070</v>
      </c>
      <c r="G3" s="112">
        <f>E3/E4-1</f>
        <v>-1.0292587024401612E-2</v>
      </c>
      <c r="I3" s="105">
        <v>45908</v>
      </c>
      <c r="J3" s="85">
        <v>155057.32999999999</v>
      </c>
      <c r="K3" s="85">
        <v>156199.28</v>
      </c>
      <c r="L3" s="85">
        <v>154944.87</v>
      </c>
      <c r="M3" s="85">
        <v>156087.29999999999</v>
      </c>
      <c r="N3" s="114">
        <f>M3/M4-1</f>
        <v>4.078238530191669E-2</v>
      </c>
    </row>
    <row r="4" spans="1:14">
      <c r="A4" s="103" t="s">
        <v>1606</v>
      </c>
      <c r="B4" s="103">
        <v>257.5</v>
      </c>
      <c r="C4" s="103">
        <v>263.89</v>
      </c>
      <c r="D4" s="103">
        <v>255.61</v>
      </c>
      <c r="E4" s="103">
        <v>259.41000000000003</v>
      </c>
      <c r="F4" s="104">
        <v>7056106</v>
      </c>
      <c r="G4" s="112">
        <f t="shared" ref="G4:G67" si="0">E4/E5-1</f>
        <v>1.2489754498263395E-2</v>
      </c>
      <c r="I4" s="105">
        <v>45901</v>
      </c>
      <c r="J4" s="85">
        <v>149079.23000000001</v>
      </c>
      <c r="K4" s="85">
        <v>150066</v>
      </c>
      <c r="L4" s="85">
        <v>148500.20000000001</v>
      </c>
      <c r="M4" s="85">
        <v>149971.12</v>
      </c>
      <c r="N4" s="114">
        <f t="shared" ref="N4:N67" si="1">M4/M5-1</f>
        <v>7.7668089235449767E-3</v>
      </c>
    </row>
    <row r="5" spans="1:14">
      <c r="A5" s="103" t="s">
        <v>1607</v>
      </c>
      <c r="B5" s="103">
        <v>264</v>
      </c>
      <c r="C5" s="103">
        <v>264.89999999999998</v>
      </c>
      <c r="D5" s="103">
        <v>247</v>
      </c>
      <c r="E5" s="103">
        <v>256.20999999999998</v>
      </c>
      <c r="F5" s="104">
        <v>8857112</v>
      </c>
      <c r="G5" s="112">
        <f t="shared" si="0"/>
        <v>-3.1268905021173743E-2</v>
      </c>
      <c r="I5" s="105">
        <v>45894</v>
      </c>
      <c r="J5" s="85">
        <v>149828.16</v>
      </c>
      <c r="K5" s="85">
        <v>150079.75</v>
      </c>
      <c r="L5" s="85">
        <v>148757.13</v>
      </c>
      <c r="M5" s="85">
        <v>148815.29999999999</v>
      </c>
      <c r="N5" s="114">
        <f t="shared" si="1"/>
        <v>4.1760792872052033E-3</v>
      </c>
    </row>
    <row r="6" spans="1:14">
      <c r="A6" s="103" t="s">
        <v>1608</v>
      </c>
      <c r="B6" s="103">
        <v>274.10000000000002</v>
      </c>
      <c r="C6" s="103">
        <v>274.99</v>
      </c>
      <c r="D6" s="103">
        <v>262.39999999999998</v>
      </c>
      <c r="E6" s="103">
        <v>264.48</v>
      </c>
      <c r="F6" s="104">
        <v>13513570</v>
      </c>
      <c r="G6" s="112">
        <f t="shared" si="0"/>
        <v>-3.5272660952033408E-2</v>
      </c>
      <c r="I6" s="105">
        <v>45887</v>
      </c>
      <c r="J6" s="85">
        <v>999999.99</v>
      </c>
      <c r="K6" s="85">
        <v>148395.71</v>
      </c>
      <c r="L6" s="85">
        <v>146403.64000000001</v>
      </c>
      <c r="M6" s="85">
        <v>148196.42000000001</v>
      </c>
      <c r="N6" s="114">
        <f t="shared" si="1"/>
        <v>8.6203047658666154E-3</v>
      </c>
    </row>
    <row r="7" spans="1:14">
      <c r="A7" s="103" t="s">
        <v>1609</v>
      </c>
      <c r="B7" s="103">
        <v>261</v>
      </c>
      <c r="C7" s="103">
        <v>279.49</v>
      </c>
      <c r="D7" s="103">
        <v>261</v>
      </c>
      <c r="E7" s="103">
        <v>274.14999999999998</v>
      </c>
      <c r="F7" s="104">
        <v>12395479</v>
      </c>
      <c r="G7" s="112">
        <f t="shared" si="0"/>
        <v>4.9056748172808362E-2</v>
      </c>
      <c r="I7" s="105">
        <v>45880</v>
      </c>
      <c r="J7" s="85">
        <v>145650.32999999999</v>
      </c>
      <c r="K7" s="85">
        <v>147005.17000000001</v>
      </c>
      <c r="L7" s="85">
        <v>145258.49</v>
      </c>
      <c r="M7" s="85">
        <v>146929.84</v>
      </c>
      <c r="N7" s="114">
        <f t="shared" si="1"/>
        <v>3.4333751206594876E-2</v>
      </c>
    </row>
    <row r="8" spans="1:14">
      <c r="A8" s="103" t="s">
        <v>1610</v>
      </c>
      <c r="B8" s="103">
        <v>233</v>
      </c>
      <c r="C8" s="103">
        <v>274.89999999999998</v>
      </c>
      <c r="D8" s="103">
        <v>233</v>
      </c>
      <c r="E8" s="103">
        <v>261.33</v>
      </c>
      <c r="F8" s="104">
        <v>40458768</v>
      </c>
      <c r="G8" s="112">
        <f t="shared" si="0"/>
        <v>0.12948956217314245</v>
      </c>
      <c r="I8" s="105">
        <v>45873</v>
      </c>
      <c r="J8" s="85">
        <v>141962.94</v>
      </c>
      <c r="K8" s="85">
        <v>142323.34</v>
      </c>
      <c r="L8" s="85">
        <v>141440.48000000001</v>
      </c>
      <c r="M8" s="85">
        <v>142052.64000000001</v>
      </c>
      <c r="N8" s="114">
        <f t="shared" si="1"/>
        <v>1.9174838866825139E-2</v>
      </c>
    </row>
    <row r="9" spans="1:14">
      <c r="A9" s="103" t="s">
        <v>1611</v>
      </c>
      <c r="B9" s="103">
        <v>226</v>
      </c>
      <c r="C9" s="103">
        <v>234</v>
      </c>
      <c r="D9" s="103">
        <v>214</v>
      </c>
      <c r="E9" s="103">
        <v>231.37</v>
      </c>
      <c r="F9" s="104">
        <v>19744308</v>
      </c>
      <c r="G9" s="112">
        <f t="shared" si="0"/>
        <v>2.1546205130469342E-2</v>
      </c>
      <c r="I9" s="105">
        <v>45866</v>
      </c>
      <c r="J9" s="85">
        <v>139759.59</v>
      </c>
      <c r="K9" s="85">
        <v>140149.23000000001</v>
      </c>
      <c r="L9" s="85">
        <v>139195.84</v>
      </c>
      <c r="M9" s="85">
        <v>139380.04999999999</v>
      </c>
      <c r="N9" s="114">
        <f t="shared" si="1"/>
        <v>8.410435199343036E-3</v>
      </c>
    </row>
    <row r="10" spans="1:14">
      <c r="A10" s="103" t="s">
        <v>1612</v>
      </c>
      <c r="B10" s="103">
        <v>223.8</v>
      </c>
      <c r="C10" s="103">
        <v>240</v>
      </c>
      <c r="D10" s="103">
        <v>223.5</v>
      </c>
      <c r="E10" s="103">
        <v>226.49</v>
      </c>
      <c r="F10" s="104">
        <v>25883916</v>
      </c>
      <c r="G10" s="112">
        <f t="shared" si="0"/>
        <v>1.8298714144411532E-2</v>
      </c>
      <c r="I10" s="105">
        <v>45859</v>
      </c>
      <c r="J10" s="85">
        <v>139142.17000000001</v>
      </c>
      <c r="K10" s="85">
        <v>139201.15</v>
      </c>
      <c r="L10" s="85">
        <v>138149.56</v>
      </c>
      <c r="M10" s="85">
        <v>138217.57999999999</v>
      </c>
      <c r="N10" s="114">
        <f t="shared" si="1"/>
        <v>1.2564235988886008E-2</v>
      </c>
    </row>
    <row r="11" spans="1:14">
      <c r="A11" s="103" t="s">
        <v>1613</v>
      </c>
      <c r="B11" s="103">
        <v>202.5</v>
      </c>
      <c r="C11" s="103">
        <v>232.7</v>
      </c>
      <c r="D11" s="103">
        <v>201.8</v>
      </c>
      <c r="E11" s="103">
        <v>222.42</v>
      </c>
      <c r="F11" s="104">
        <v>29105473</v>
      </c>
      <c r="G11" s="112">
        <f t="shared" si="0"/>
        <v>0.10234425335778341</v>
      </c>
      <c r="I11" s="105">
        <v>45852</v>
      </c>
      <c r="J11" s="85">
        <v>134937.43</v>
      </c>
      <c r="K11" s="85">
        <v>136841.49</v>
      </c>
      <c r="L11" s="85">
        <v>134937.43</v>
      </c>
      <c r="M11" s="85">
        <v>136502.53</v>
      </c>
      <c r="N11" s="114">
        <f t="shared" si="1"/>
        <v>2.3486441567805105E-2</v>
      </c>
    </row>
    <row r="12" spans="1:14">
      <c r="A12" s="103" t="s">
        <v>1614</v>
      </c>
      <c r="B12" s="103">
        <v>199</v>
      </c>
      <c r="C12" s="103">
        <v>208.75</v>
      </c>
      <c r="D12" s="103">
        <v>197.6</v>
      </c>
      <c r="E12" s="103">
        <v>201.77</v>
      </c>
      <c r="F12" s="104">
        <v>14182619</v>
      </c>
      <c r="G12" s="112">
        <f t="shared" si="0"/>
        <v>2.5723145747547083E-2</v>
      </c>
      <c r="I12" s="105">
        <v>45845</v>
      </c>
      <c r="J12" s="85">
        <v>132485.75</v>
      </c>
      <c r="K12" s="85">
        <v>133862.01</v>
      </c>
      <c r="L12" s="85">
        <v>132467.12</v>
      </c>
      <c r="M12" s="85">
        <v>133370.14000000001</v>
      </c>
      <c r="N12" s="114">
        <f t="shared" si="1"/>
        <v>6.1633334344260104E-2</v>
      </c>
    </row>
    <row r="13" spans="1:14">
      <c r="A13" s="103" t="s">
        <v>1615</v>
      </c>
      <c r="B13" s="103">
        <v>174</v>
      </c>
      <c r="C13" s="103">
        <v>197.51</v>
      </c>
      <c r="D13" s="103">
        <v>173.5</v>
      </c>
      <c r="E13" s="103">
        <v>196.71</v>
      </c>
      <c r="F13" s="104">
        <v>24543271</v>
      </c>
      <c r="G13" s="112">
        <f t="shared" si="0"/>
        <v>0.13626386321626627</v>
      </c>
      <c r="I13" s="105">
        <v>45838</v>
      </c>
      <c r="J13" s="85">
        <v>124884.07</v>
      </c>
      <c r="K13" s="85">
        <v>125748.58</v>
      </c>
      <c r="L13" s="85">
        <v>124500.2</v>
      </c>
      <c r="M13" s="85">
        <v>125627.31</v>
      </c>
      <c r="N13" s="114">
        <f t="shared" si="1"/>
        <v>8.1432779761838603E-2</v>
      </c>
    </row>
    <row r="14" spans="1:14">
      <c r="A14" s="103" t="s">
        <v>1616</v>
      </c>
      <c r="B14" s="103">
        <v>165</v>
      </c>
      <c r="C14" s="103">
        <v>176.8</v>
      </c>
      <c r="D14" s="103">
        <v>160.05000000000001</v>
      </c>
      <c r="E14" s="103">
        <v>173.12</v>
      </c>
      <c r="F14" s="104">
        <v>14148045</v>
      </c>
      <c r="G14" s="112">
        <f t="shared" si="0"/>
        <v>4.1010222489476833E-2</v>
      </c>
      <c r="I14" s="105">
        <v>45831</v>
      </c>
      <c r="J14" s="85">
        <v>118272</v>
      </c>
      <c r="K14" s="85">
        <v>118798.51</v>
      </c>
      <c r="L14" s="85">
        <v>115887.48</v>
      </c>
      <c r="M14" s="85">
        <v>116167.47</v>
      </c>
      <c r="N14" s="114">
        <f t="shared" si="1"/>
        <v>-4.956320435981576E-2</v>
      </c>
    </row>
    <row r="15" spans="1:14">
      <c r="A15" s="103" t="s">
        <v>1617</v>
      </c>
      <c r="B15" s="103">
        <v>161.22</v>
      </c>
      <c r="C15" s="103">
        <v>168.95</v>
      </c>
      <c r="D15" s="103">
        <v>161.22</v>
      </c>
      <c r="E15" s="103">
        <v>166.3</v>
      </c>
      <c r="F15" s="104">
        <v>9511753</v>
      </c>
      <c r="G15" s="112">
        <f t="shared" si="0"/>
        <v>2.2943962600725953E-2</v>
      </c>
      <c r="I15" s="105">
        <v>45824</v>
      </c>
      <c r="J15" s="85">
        <v>122168.25</v>
      </c>
      <c r="K15" s="85">
        <v>122903.33</v>
      </c>
      <c r="L15" s="85">
        <v>121889.95</v>
      </c>
      <c r="M15" s="85">
        <v>122225.35</v>
      </c>
      <c r="N15" s="114">
        <f t="shared" si="1"/>
        <v>1.6464734441723472E-3</v>
      </c>
    </row>
    <row r="16" spans="1:14">
      <c r="A16" s="103" t="s">
        <v>1618</v>
      </c>
      <c r="B16" s="103">
        <v>163.4</v>
      </c>
      <c r="C16" s="103">
        <v>169.8</v>
      </c>
      <c r="D16" s="103">
        <v>161.32</v>
      </c>
      <c r="E16" s="103">
        <v>162.57</v>
      </c>
      <c r="F16" s="104">
        <v>8623918</v>
      </c>
      <c r="G16" s="112">
        <f t="shared" si="0"/>
        <v>6.8747677443328215E-3</v>
      </c>
      <c r="I16" s="105">
        <v>45818</v>
      </c>
      <c r="J16" s="85">
        <v>122152.22</v>
      </c>
      <c r="K16" s="85">
        <v>122611.53</v>
      </c>
      <c r="L16" s="85">
        <v>121589.9</v>
      </c>
      <c r="M16" s="85">
        <v>122024.44</v>
      </c>
      <c r="N16" s="114">
        <f t="shared" si="1"/>
        <v>2.6469534261232885E-2</v>
      </c>
    </row>
    <row r="17" spans="1:14">
      <c r="A17" s="103" t="s">
        <v>1619</v>
      </c>
      <c r="B17" s="103">
        <v>153.88999999999999</v>
      </c>
      <c r="C17" s="103">
        <v>165.9</v>
      </c>
      <c r="D17" s="103">
        <v>153</v>
      </c>
      <c r="E17" s="103">
        <v>161.46</v>
      </c>
      <c r="F17" s="104">
        <v>12057939</v>
      </c>
      <c r="G17" s="112">
        <f t="shared" si="0"/>
        <v>5.3091573180276574E-2</v>
      </c>
      <c r="I17" s="105">
        <v>45810</v>
      </c>
      <c r="J17" s="85">
        <v>120211.57</v>
      </c>
      <c r="K17" s="85">
        <v>120590.77</v>
      </c>
      <c r="L17" s="85">
        <v>118672.84</v>
      </c>
      <c r="M17" s="85">
        <v>118877.8</v>
      </c>
      <c r="N17" s="114">
        <f t="shared" si="1"/>
        <v>5.5546758481057612E-3</v>
      </c>
    </row>
    <row r="18" spans="1:14">
      <c r="A18" s="103" t="s">
        <v>1620</v>
      </c>
      <c r="B18" s="103">
        <v>155.5</v>
      </c>
      <c r="C18" s="103">
        <v>156.59</v>
      </c>
      <c r="D18" s="103">
        <v>152.53</v>
      </c>
      <c r="E18" s="103">
        <v>153.32</v>
      </c>
      <c r="F18" s="104">
        <v>1666005</v>
      </c>
      <c r="G18" s="112">
        <f t="shared" si="0"/>
        <v>-4.9970796287884811E-3</v>
      </c>
      <c r="I18" s="105">
        <v>45803</v>
      </c>
      <c r="J18" s="85">
        <v>119211.88</v>
      </c>
      <c r="K18" s="85">
        <v>119290.94</v>
      </c>
      <c r="L18" s="85">
        <v>118150.27</v>
      </c>
      <c r="M18" s="85">
        <v>118221.12</v>
      </c>
      <c r="N18" s="114">
        <f t="shared" si="1"/>
        <v>-1.2269316899049754E-2</v>
      </c>
    </row>
    <row r="19" spans="1:14">
      <c r="A19" s="103" t="s">
        <v>1621</v>
      </c>
      <c r="B19" s="103">
        <v>158.01</v>
      </c>
      <c r="C19" s="103">
        <v>158.99</v>
      </c>
      <c r="D19" s="103">
        <v>152.16999999999999</v>
      </c>
      <c r="E19" s="103">
        <v>154.09</v>
      </c>
      <c r="F19" s="104">
        <v>7563165</v>
      </c>
      <c r="G19" s="112">
        <f t="shared" si="0"/>
        <v>-2.4190994870495808E-2</v>
      </c>
      <c r="I19" s="105">
        <v>45796</v>
      </c>
      <c r="J19" s="85">
        <v>120164.33</v>
      </c>
      <c r="K19" s="85">
        <v>120285.54</v>
      </c>
      <c r="L19" s="85">
        <v>119250.67</v>
      </c>
      <c r="M19" s="85">
        <v>119689.63</v>
      </c>
      <c r="N19" s="114">
        <f t="shared" si="1"/>
        <v>2.0391698969792538E-2</v>
      </c>
    </row>
    <row r="20" spans="1:14">
      <c r="A20" s="103" t="s">
        <v>1622</v>
      </c>
      <c r="B20" s="103">
        <v>153.99</v>
      </c>
      <c r="C20" s="103">
        <v>159.80000000000001</v>
      </c>
      <c r="D20" s="103">
        <v>149</v>
      </c>
      <c r="E20" s="103">
        <v>157.91</v>
      </c>
      <c r="F20" s="104">
        <v>23190194</v>
      </c>
      <c r="G20" s="112">
        <f t="shared" si="0"/>
        <v>0.12800914351025061</v>
      </c>
      <c r="I20" s="105">
        <v>45789</v>
      </c>
      <c r="J20" s="85">
        <v>117104.11</v>
      </c>
      <c r="K20" s="85">
        <v>117327.78</v>
      </c>
      <c r="L20" s="85">
        <v>115794.37</v>
      </c>
      <c r="M20" s="85">
        <v>117297.73</v>
      </c>
      <c r="N20" s="114">
        <f t="shared" si="1"/>
        <v>2.8005587620855366E-2</v>
      </c>
    </row>
    <row r="21" spans="1:14">
      <c r="A21" s="103" t="s">
        <v>1623</v>
      </c>
      <c r="B21" s="103">
        <v>150</v>
      </c>
      <c r="C21" s="103">
        <v>150</v>
      </c>
      <c r="D21" s="103">
        <v>127.52</v>
      </c>
      <c r="E21" s="103">
        <v>139.99</v>
      </c>
      <c r="F21" s="104">
        <v>8253090</v>
      </c>
      <c r="G21" s="112">
        <f t="shared" si="0"/>
        <v>-9.0855955318872472E-2</v>
      </c>
      <c r="I21" s="105">
        <v>45782</v>
      </c>
      <c r="J21" s="85">
        <v>114385.61</v>
      </c>
      <c r="K21" s="85">
        <v>114552.2</v>
      </c>
      <c r="L21" s="85">
        <v>113077.66</v>
      </c>
      <c r="M21" s="85">
        <v>114102.23</v>
      </c>
      <c r="N21" s="114">
        <f t="shared" si="1"/>
        <v>3.3603971107432073E-4</v>
      </c>
    </row>
    <row r="22" spans="1:14">
      <c r="A22" s="103" t="s">
        <v>1624</v>
      </c>
      <c r="B22" s="103">
        <v>151.63999999999999</v>
      </c>
      <c r="C22" s="103">
        <v>154.99</v>
      </c>
      <c r="D22" s="103">
        <v>146.88</v>
      </c>
      <c r="E22" s="103">
        <v>153.97999999999999</v>
      </c>
      <c r="F22" s="104">
        <v>17278608</v>
      </c>
      <c r="G22" s="112">
        <f t="shared" si="0"/>
        <v>4.1883753975235027E-2</v>
      </c>
      <c r="I22" s="105">
        <v>45775</v>
      </c>
      <c r="J22" s="85">
        <v>116305.69</v>
      </c>
      <c r="K22" s="85">
        <v>116658.94</v>
      </c>
      <c r="L22" s="85">
        <v>113867.8</v>
      </c>
      <c r="M22" s="85">
        <v>114063.9</v>
      </c>
      <c r="N22" s="114">
        <f t="shared" si="1"/>
        <v>-3.6487216364324171E-2</v>
      </c>
    </row>
    <row r="23" spans="1:14">
      <c r="A23" s="103" t="s">
        <v>1625</v>
      </c>
      <c r="B23" s="103">
        <v>146.9</v>
      </c>
      <c r="C23" s="103">
        <v>148.5</v>
      </c>
      <c r="D23" s="103">
        <v>137.75</v>
      </c>
      <c r="E23" s="103">
        <v>147.79</v>
      </c>
      <c r="F23" s="104">
        <v>18458254</v>
      </c>
      <c r="G23" s="112">
        <f t="shared" si="0"/>
        <v>7.7048956770762178E-3</v>
      </c>
      <c r="I23" s="105">
        <v>45768</v>
      </c>
      <c r="J23" s="85">
        <v>117712.7</v>
      </c>
      <c r="K23" s="85">
        <v>118827.47</v>
      </c>
      <c r="L23" s="85">
        <v>117712.7</v>
      </c>
      <c r="M23" s="85">
        <v>118383.38</v>
      </c>
      <c r="N23" s="114">
        <f t="shared" si="1"/>
        <v>1.7126466931918438E-2</v>
      </c>
    </row>
    <row r="24" spans="1:14">
      <c r="A24" s="103" t="s">
        <v>1626</v>
      </c>
      <c r="B24" s="103">
        <v>150</v>
      </c>
      <c r="C24" s="103">
        <v>154.6</v>
      </c>
      <c r="D24" s="103">
        <v>142.9</v>
      </c>
      <c r="E24" s="103">
        <v>146.66</v>
      </c>
      <c r="F24" s="104">
        <v>14886520</v>
      </c>
      <c r="G24" s="112">
        <f t="shared" si="0"/>
        <v>-2.2201480098673287E-2</v>
      </c>
      <c r="I24" s="105">
        <v>45761</v>
      </c>
      <c r="J24" s="85">
        <v>115448.73</v>
      </c>
      <c r="K24" s="85">
        <v>116494.19</v>
      </c>
      <c r="L24" s="85">
        <v>115246.2</v>
      </c>
      <c r="M24" s="85">
        <v>116390.03</v>
      </c>
      <c r="N24" s="114">
        <f t="shared" si="1"/>
        <v>1.2884489599987781E-2</v>
      </c>
    </row>
    <row r="25" spans="1:14">
      <c r="A25" s="103" t="s">
        <v>1627</v>
      </c>
      <c r="B25" s="103">
        <v>155.51</v>
      </c>
      <c r="C25" s="103">
        <v>158</v>
      </c>
      <c r="D25" s="103">
        <v>143.11000000000001</v>
      </c>
      <c r="E25" s="103">
        <v>149.99</v>
      </c>
      <c r="F25" s="104">
        <v>8951043</v>
      </c>
      <c r="G25" s="112">
        <f t="shared" si="0"/>
        <v>-5.2135995955510661E-2</v>
      </c>
      <c r="I25" s="105">
        <v>45754</v>
      </c>
      <c r="J25" s="85">
        <v>117601.62</v>
      </c>
      <c r="K25" s="85">
        <v>117601.97</v>
      </c>
      <c r="L25" s="85">
        <v>110103.97</v>
      </c>
      <c r="M25" s="85">
        <v>114909.48</v>
      </c>
      <c r="N25" s="114">
        <f t="shared" si="1"/>
        <v>-1.3141059718333015E-2</v>
      </c>
    </row>
    <row r="26" spans="1:14">
      <c r="A26" s="103" t="s">
        <v>1628</v>
      </c>
      <c r="B26" s="103">
        <v>154.4</v>
      </c>
      <c r="C26" s="103">
        <v>162.5</v>
      </c>
      <c r="D26" s="103">
        <v>151</v>
      </c>
      <c r="E26" s="103">
        <v>158.24</v>
      </c>
      <c r="F26" s="104">
        <v>8968964</v>
      </c>
      <c r="G26" s="112">
        <f t="shared" si="0"/>
        <v>3.872915846133651E-2</v>
      </c>
      <c r="I26" s="105">
        <v>45740</v>
      </c>
      <c r="J26" s="85">
        <v>118797.7</v>
      </c>
      <c r="K26" s="85">
        <v>118797.7</v>
      </c>
      <c r="L26" s="85">
        <v>116257.51</v>
      </c>
      <c r="M26" s="85">
        <v>116439.62</v>
      </c>
      <c r="N26" s="114">
        <f t="shared" si="1"/>
        <v>2.0656699391108369E-3</v>
      </c>
    </row>
    <row r="27" spans="1:14">
      <c r="A27" s="103" t="s">
        <v>1629</v>
      </c>
      <c r="B27" s="103">
        <v>153</v>
      </c>
      <c r="C27" s="103">
        <v>155.6</v>
      </c>
      <c r="D27" s="103">
        <v>152.05000000000001</v>
      </c>
      <c r="E27" s="103">
        <v>152.34</v>
      </c>
      <c r="F27" s="104">
        <v>6618149</v>
      </c>
      <c r="G27" s="112">
        <f t="shared" si="0"/>
        <v>-3.2147395171537529E-2</v>
      </c>
      <c r="I27" s="105">
        <v>45733</v>
      </c>
      <c r="J27" s="85">
        <v>115957.88</v>
      </c>
      <c r="K27" s="85">
        <v>116626.82</v>
      </c>
      <c r="L27" s="85">
        <v>115883.22</v>
      </c>
      <c r="M27" s="85">
        <v>116199.59</v>
      </c>
      <c r="N27" s="114">
        <f t="shared" si="1"/>
        <v>1.6118476684370941E-2</v>
      </c>
    </row>
    <row r="28" spans="1:14">
      <c r="A28" s="103" t="s">
        <v>1630</v>
      </c>
      <c r="B28" s="103">
        <v>154.97999999999999</v>
      </c>
      <c r="C28" s="103">
        <v>160.75</v>
      </c>
      <c r="D28" s="103">
        <v>153.74</v>
      </c>
      <c r="E28" s="103">
        <v>157.4</v>
      </c>
      <c r="F28" s="104">
        <v>4490906</v>
      </c>
      <c r="G28" s="112">
        <f t="shared" si="0"/>
        <v>2.2144295084096433E-2</v>
      </c>
      <c r="I28" s="105">
        <v>45726</v>
      </c>
      <c r="J28" s="85">
        <v>114432.8</v>
      </c>
      <c r="K28" s="85">
        <v>115048.41</v>
      </c>
      <c r="L28" s="85">
        <v>114152.31</v>
      </c>
      <c r="M28" s="85">
        <v>114356.34</v>
      </c>
      <c r="N28" s="114">
        <f t="shared" si="1"/>
        <v>2.1158371409222054E-2</v>
      </c>
    </row>
    <row r="29" spans="1:14">
      <c r="A29" s="103" t="s">
        <v>1631</v>
      </c>
      <c r="B29" s="103">
        <v>152</v>
      </c>
      <c r="C29" s="103">
        <v>154.6</v>
      </c>
      <c r="D29" s="103">
        <v>150</v>
      </c>
      <c r="E29" s="103">
        <v>153.99</v>
      </c>
      <c r="F29" s="104">
        <v>1274660</v>
      </c>
      <c r="G29" s="112">
        <f t="shared" si="0"/>
        <v>9.9691742637897374E-3</v>
      </c>
      <c r="I29" s="105">
        <v>45719</v>
      </c>
      <c r="J29" s="85">
        <v>113498.57</v>
      </c>
      <c r="K29" s="85">
        <v>113591.83</v>
      </c>
      <c r="L29" s="85">
        <v>111829.14</v>
      </c>
      <c r="M29" s="85">
        <v>111986.88</v>
      </c>
      <c r="N29" s="114">
        <f t="shared" si="1"/>
        <v>-2.0495215170808101E-2</v>
      </c>
    </row>
    <row r="30" spans="1:14">
      <c r="A30" s="103" t="s">
        <v>1632</v>
      </c>
      <c r="B30" s="103">
        <v>158.5</v>
      </c>
      <c r="C30" s="103">
        <v>160</v>
      </c>
      <c r="D30" s="103">
        <v>149.6</v>
      </c>
      <c r="E30" s="103">
        <v>152.47</v>
      </c>
      <c r="F30" s="104">
        <v>12209793</v>
      </c>
      <c r="G30" s="112">
        <f t="shared" si="0"/>
        <v>-3.621997471554983E-2</v>
      </c>
      <c r="I30" s="105">
        <v>45712</v>
      </c>
      <c r="J30" s="85">
        <v>112700.1</v>
      </c>
      <c r="K30" s="85">
        <v>114573.67</v>
      </c>
      <c r="L30" s="85">
        <v>111857.33</v>
      </c>
      <c r="M30" s="85">
        <v>114330.1</v>
      </c>
      <c r="N30" s="114">
        <f t="shared" si="1"/>
        <v>2.3147380434464626E-2</v>
      </c>
    </row>
    <row r="31" spans="1:14">
      <c r="A31" s="103" t="s">
        <v>1633</v>
      </c>
      <c r="B31" s="103">
        <v>162.52000000000001</v>
      </c>
      <c r="C31" s="103">
        <v>167</v>
      </c>
      <c r="D31" s="103">
        <v>157.5</v>
      </c>
      <c r="E31" s="103">
        <v>158.19999999999999</v>
      </c>
      <c r="F31" s="104">
        <v>3232059</v>
      </c>
      <c r="G31" s="112">
        <f t="shared" si="0"/>
        <v>-2.6581343834605087E-2</v>
      </c>
      <c r="I31" s="105">
        <v>45705</v>
      </c>
      <c r="J31" s="85">
        <v>112283.82</v>
      </c>
      <c r="K31" s="85">
        <v>112524.8</v>
      </c>
      <c r="L31" s="85">
        <v>111513.66</v>
      </c>
      <c r="M31" s="85">
        <v>111743.53</v>
      </c>
      <c r="N31" s="114">
        <f t="shared" si="1"/>
        <v>3.2822472237774569E-3</v>
      </c>
    </row>
    <row r="32" spans="1:14">
      <c r="A32" s="103" t="s">
        <v>1634</v>
      </c>
      <c r="B32" s="103">
        <v>164.05</v>
      </c>
      <c r="C32" s="103">
        <v>168.95</v>
      </c>
      <c r="D32" s="103">
        <v>160.1</v>
      </c>
      <c r="E32" s="103">
        <v>162.52000000000001</v>
      </c>
      <c r="F32" s="104">
        <v>2502693</v>
      </c>
      <c r="G32" s="112">
        <f t="shared" si="0"/>
        <v>-9.8696234921407111E-3</v>
      </c>
      <c r="I32" s="105">
        <v>45698</v>
      </c>
      <c r="J32" s="85">
        <v>110610.81</v>
      </c>
      <c r="K32" s="85">
        <v>111622.72</v>
      </c>
      <c r="L32" s="85">
        <v>109948.57</v>
      </c>
      <c r="M32" s="85">
        <v>111377.96</v>
      </c>
      <c r="N32" s="114">
        <f t="shared" si="1"/>
        <v>-1.2125148598594149E-2</v>
      </c>
    </row>
    <row r="33" spans="1:14">
      <c r="A33" s="103" t="s">
        <v>1635</v>
      </c>
      <c r="B33" s="103">
        <v>176</v>
      </c>
      <c r="C33" s="103">
        <v>177</v>
      </c>
      <c r="D33" s="103">
        <v>163.19999999999999</v>
      </c>
      <c r="E33" s="103">
        <v>164.14</v>
      </c>
      <c r="F33" s="104">
        <v>6497519</v>
      </c>
      <c r="G33" s="112">
        <f t="shared" si="0"/>
        <v>-6.733337121427363E-2</v>
      </c>
      <c r="I33" s="105">
        <v>45691</v>
      </c>
      <c r="J33" s="85">
        <v>114549.94</v>
      </c>
      <c r="K33" s="85">
        <v>114620.79</v>
      </c>
      <c r="L33" s="85">
        <v>112681.33</v>
      </c>
      <c r="M33" s="85">
        <v>112745.01</v>
      </c>
      <c r="N33" s="114">
        <f t="shared" si="1"/>
        <v>-6.8297023827982306E-3</v>
      </c>
    </row>
    <row r="34" spans="1:14">
      <c r="A34" s="103" t="s">
        <v>1636</v>
      </c>
      <c r="B34" s="103">
        <v>174.52</v>
      </c>
      <c r="C34" s="103">
        <v>179.4</v>
      </c>
      <c r="D34" s="103">
        <v>172.05</v>
      </c>
      <c r="E34" s="103">
        <v>175.99</v>
      </c>
      <c r="F34" s="104">
        <v>10259638</v>
      </c>
      <c r="G34" s="112">
        <f t="shared" si="0"/>
        <v>8.4808893473153901E-3</v>
      </c>
      <c r="I34" s="105">
        <v>45684</v>
      </c>
      <c r="J34" s="85">
        <v>115075.86</v>
      </c>
      <c r="K34" s="85">
        <v>115596.87</v>
      </c>
      <c r="L34" s="85">
        <v>113482.22</v>
      </c>
      <c r="M34" s="85">
        <v>113520.32000000001</v>
      </c>
      <c r="N34" s="114">
        <f t="shared" si="1"/>
        <v>-2.0065551490826339E-2</v>
      </c>
    </row>
    <row r="35" spans="1:14">
      <c r="A35" s="103" t="s">
        <v>1637</v>
      </c>
      <c r="B35" s="103">
        <v>172.9</v>
      </c>
      <c r="C35" s="103">
        <v>176.5</v>
      </c>
      <c r="D35" s="103">
        <v>171.5</v>
      </c>
      <c r="E35" s="103">
        <v>174.51</v>
      </c>
      <c r="F35" s="104">
        <v>11959099</v>
      </c>
      <c r="G35" s="112">
        <f t="shared" si="0"/>
        <v>7.6216871643859374E-3</v>
      </c>
      <c r="I35" s="105">
        <v>45677</v>
      </c>
      <c r="J35" s="85">
        <v>115868.94</v>
      </c>
      <c r="K35" s="85">
        <v>116276.42</v>
      </c>
      <c r="L35" s="85">
        <v>115668.08</v>
      </c>
      <c r="M35" s="85">
        <v>115844.81</v>
      </c>
      <c r="N35" s="114">
        <f t="shared" si="1"/>
        <v>1.4135946352475059E-2</v>
      </c>
    </row>
    <row r="36" spans="1:14">
      <c r="A36" s="103" t="s">
        <v>1638</v>
      </c>
      <c r="B36" s="103">
        <v>173.11</v>
      </c>
      <c r="C36" s="103">
        <v>174.8</v>
      </c>
      <c r="D36" s="103">
        <v>171.01</v>
      </c>
      <c r="E36" s="103">
        <v>173.19</v>
      </c>
      <c r="F36" s="104">
        <v>6131894</v>
      </c>
      <c r="G36" s="112">
        <f t="shared" si="0"/>
        <v>5.6323307397514455E-3</v>
      </c>
      <c r="I36" s="105">
        <v>45670</v>
      </c>
      <c r="J36" s="85">
        <v>113715.5</v>
      </c>
      <c r="K36" s="85">
        <v>114496.08</v>
      </c>
      <c r="L36" s="85">
        <v>113083.86</v>
      </c>
      <c r="M36" s="85">
        <v>114230.06</v>
      </c>
      <c r="N36" s="114">
        <f t="shared" si="1"/>
        <v>-1.741910377796696E-2</v>
      </c>
    </row>
    <row r="37" spans="1:14">
      <c r="A37" s="103" t="s">
        <v>1639</v>
      </c>
      <c r="B37" s="103">
        <v>182.9</v>
      </c>
      <c r="C37" s="103">
        <v>182.9</v>
      </c>
      <c r="D37" s="103">
        <v>170.5</v>
      </c>
      <c r="E37" s="103">
        <v>172.22</v>
      </c>
      <c r="F37" s="104">
        <v>10061870</v>
      </c>
      <c r="G37" s="112">
        <f t="shared" si="0"/>
        <v>-5.1129476584022004E-2</v>
      </c>
      <c r="I37" s="105">
        <v>45663</v>
      </c>
      <c r="J37" s="85">
        <v>118309.5</v>
      </c>
      <c r="K37" s="85">
        <v>118735.09</v>
      </c>
      <c r="L37" s="85">
        <v>115941.94</v>
      </c>
      <c r="M37" s="85">
        <v>116255.12</v>
      </c>
      <c r="N37" s="114">
        <f t="shared" si="1"/>
        <v>8.6425362568247621E-3</v>
      </c>
    </row>
    <row r="38" spans="1:14">
      <c r="A38" s="103" t="s">
        <v>1640</v>
      </c>
      <c r="B38" s="103">
        <v>159.09</v>
      </c>
      <c r="C38" s="103">
        <v>182.5</v>
      </c>
      <c r="D38" s="103">
        <v>157.12</v>
      </c>
      <c r="E38" s="103">
        <v>181.5</v>
      </c>
      <c r="F38" s="104">
        <v>25855782</v>
      </c>
      <c r="G38" s="112">
        <f t="shared" si="0"/>
        <v>0.16212063004225885</v>
      </c>
      <c r="I38" s="105">
        <v>45656</v>
      </c>
      <c r="J38" s="85">
        <v>111916.7</v>
      </c>
      <c r="K38" s="85">
        <v>115422.34</v>
      </c>
      <c r="L38" s="85">
        <v>111916.7</v>
      </c>
      <c r="M38" s="85">
        <v>115258.99</v>
      </c>
      <c r="N38" s="114">
        <f t="shared" si="1"/>
        <v>1.1714609713581181E-2</v>
      </c>
    </row>
    <row r="39" spans="1:14">
      <c r="A39" s="103" t="s">
        <v>1641</v>
      </c>
      <c r="B39" s="103">
        <v>157.99</v>
      </c>
      <c r="C39" s="103">
        <v>162.51</v>
      </c>
      <c r="D39" s="103">
        <v>154.01</v>
      </c>
      <c r="E39" s="103">
        <v>156.18</v>
      </c>
      <c r="F39" s="104">
        <v>6072172</v>
      </c>
      <c r="G39" s="112">
        <f t="shared" si="0"/>
        <v>-2.3634621526669175E-3</v>
      </c>
      <c r="I39" s="105">
        <v>45649</v>
      </c>
      <c r="J39" s="85">
        <v>110990.57</v>
      </c>
      <c r="K39" s="85">
        <v>114189.71</v>
      </c>
      <c r="L39" s="85">
        <v>110891.35</v>
      </c>
      <c r="M39" s="85">
        <v>113924.41</v>
      </c>
      <c r="N39" s="114">
        <f t="shared" si="1"/>
        <v>-1.9325225117352351E-2</v>
      </c>
    </row>
    <row r="40" spans="1:14">
      <c r="A40" s="103" t="s">
        <v>1642</v>
      </c>
      <c r="B40" s="103">
        <v>162</v>
      </c>
      <c r="C40" s="103">
        <v>167.1</v>
      </c>
      <c r="D40" s="103">
        <v>152.5</v>
      </c>
      <c r="E40" s="103">
        <v>156.55000000000001</v>
      </c>
      <c r="F40" s="104">
        <v>12619725</v>
      </c>
      <c r="G40" s="112">
        <f t="shared" si="0"/>
        <v>-3.382089736468552E-2</v>
      </c>
      <c r="I40" s="105">
        <v>45642</v>
      </c>
      <c r="J40" s="85">
        <v>115433.26</v>
      </c>
      <c r="K40" s="85">
        <v>116681.59</v>
      </c>
      <c r="L40" s="85">
        <v>115345.99</v>
      </c>
      <c r="M40" s="85">
        <v>116169.41</v>
      </c>
      <c r="N40" s="114">
        <f t="shared" si="1"/>
        <v>5.636999708466961E-2</v>
      </c>
    </row>
    <row r="41" spans="1:14">
      <c r="A41" s="103" t="s">
        <v>1643</v>
      </c>
      <c r="B41" s="103">
        <v>170.01</v>
      </c>
      <c r="C41" s="103">
        <v>171.98</v>
      </c>
      <c r="D41" s="103">
        <v>160.62</v>
      </c>
      <c r="E41" s="103">
        <v>162.03</v>
      </c>
      <c r="F41" s="104">
        <v>14003816</v>
      </c>
      <c r="G41" s="112">
        <f t="shared" si="0"/>
        <v>-6.9648598989434984E-2</v>
      </c>
      <c r="I41" s="105">
        <v>45635</v>
      </c>
      <c r="J41" s="85">
        <v>109094.07</v>
      </c>
      <c r="K41" s="85">
        <v>110358.85</v>
      </c>
      <c r="L41" s="85">
        <v>107625.91</v>
      </c>
      <c r="M41" s="85">
        <v>109970.38</v>
      </c>
      <c r="N41" s="114">
        <f t="shared" si="1"/>
        <v>6.4831216556504367E-2</v>
      </c>
    </row>
    <row r="42" spans="1:14">
      <c r="A42" s="103" t="s">
        <v>1644</v>
      </c>
      <c r="B42" s="103">
        <v>182.35</v>
      </c>
      <c r="C42" s="103">
        <v>184.79</v>
      </c>
      <c r="D42" s="103">
        <v>170.87</v>
      </c>
      <c r="E42" s="103">
        <v>174.16</v>
      </c>
      <c r="F42" s="104">
        <v>20591149</v>
      </c>
      <c r="G42" s="112">
        <f t="shared" si="0"/>
        <v>-3.7790055248618781E-2</v>
      </c>
      <c r="I42" s="105">
        <v>45628</v>
      </c>
      <c r="J42" s="85">
        <v>101921.21</v>
      </c>
      <c r="K42" s="85">
        <v>103386.46</v>
      </c>
      <c r="L42" s="85">
        <v>101921.2</v>
      </c>
      <c r="M42" s="85">
        <v>103274.94</v>
      </c>
      <c r="N42" s="114">
        <f t="shared" si="1"/>
        <v>5.2968715875993944E-2</v>
      </c>
    </row>
    <row r="43" spans="1:14">
      <c r="A43" s="103" t="s">
        <v>1645</v>
      </c>
      <c r="B43" s="103">
        <v>145.19999999999999</v>
      </c>
      <c r="C43" s="103">
        <v>182.9</v>
      </c>
      <c r="D43" s="103">
        <v>144.1</v>
      </c>
      <c r="E43" s="103">
        <v>181</v>
      </c>
      <c r="F43" s="104">
        <v>54367312</v>
      </c>
      <c r="G43" s="112">
        <f t="shared" si="0"/>
        <v>0.25086385625431928</v>
      </c>
      <c r="I43" s="105">
        <v>45621</v>
      </c>
      <c r="J43" s="85">
        <v>97851.82</v>
      </c>
      <c r="K43" s="85">
        <v>99317.47</v>
      </c>
      <c r="L43" s="85">
        <v>97137.63</v>
      </c>
      <c r="M43" s="85">
        <v>98079.78</v>
      </c>
      <c r="N43" s="114">
        <f t="shared" si="1"/>
        <v>3.2465795546260168E-2</v>
      </c>
    </row>
    <row r="44" spans="1:14">
      <c r="A44" s="103" t="s">
        <v>1646</v>
      </c>
      <c r="B44" s="103">
        <v>134.19999999999999</v>
      </c>
      <c r="C44" s="103">
        <v>148.38999999999999</v>
      </c>
      <c r="D44" s="103">
        <v>132.05000000000001</v>
      </c>
      <c r="E44" s="103">
        <v>144.69999999999999</v>
      </c>
      <c r="F44" s="104">
        <v>31143092</v>
      </c>
      <c r="G44" s="112">
        <f t="shared" si="0"/>
        <v>8.0899379995517995E-2</v>
      </c>
      <c r="I44" s="105">
        <v>45614</v>
      </c>
      <c r="J44" s="85">
        <v>95060.85</v>
      </c>
      <c r="K44" s="85">
        <v>95307.91</v>
      </c>
      <c r="L44" s="85">
        <v>94620.44</v>
      </c>
      <c r="M44" s="85">
        <v>94995.67</v>
      </c>
      <c r="N44" s="114">
        <f t="shared" si="1"/>
        <v>1.4387337647914888E-2</v>
      </c>
    </row>
    <row r="45" spans="1:14">
      <c r="A45" s="103" t="s">
        <v>1647</v>
      </c>
      <c r="B45" s="103">
        <v>130.94</v>
      </c>
      <c r="C45" s="103">
        <v>135</v>
      </c>
      <c r="D45" s="103">
        <v>124.4</v>
      </c>
      <c r="E45" s="103">
        <v>133.87</v>
      </c>
      <c r="F45" s="104">
        <v>8332235</v>
      </c>
      <c r="G45" s="112">
        <f t="shared" si="0"/>
        <v>3.8154323381155653E-2</v>
      </c>
      <c r="I45" s="105">
        <v>45607</v>
      </c>
      <c r="J45" s="85">
        <v>93485.41</v>
      </c>
      <c r="K45" s="85">
        <v>94020.02</v>
      </c>
      <c r="L45" s="85">
        <v>93318.91</v>
      </c>
      <c r="M45" s="85">
        <v>93648.320000000007</v>
      </c>
      <c r="N45" s="114">
        <f t="shared" si="1"/>
        <v>1.8602971567795779E-2</v>
      </c>
    </row>
    <row r="46" spans="1:14">
      <c r="A46" s="103" t="s">
        <v>1648</v>
      </c>
      <c r="B46" s="103">
        <v>133.9</v>
      </c>
      <c r="C46" s="103">
        <v>134.99</v>
      </c>
      <c r="D46" s="103">
        <v>128.46</v>
      </c>
      <c r="E46" s="103">
        <v>128.94999999999999</v>
      </c>
      <c r="F46" s="104">
        <v>4247169</v>
      </c>
      <c r="G46" s="112">
        <f t="shared" si="0"/>
        <v>-3.7183603374897456E-2</v>
      </c>
      <c r="I46" s="105">
        <v>45600</v>
      </c>
      <c r="J46" s="85">
        <v>91461.79</v>
      </c>
      <c r="K46" s="85">
        <v>92159.08</v>
      </c>
      <c r="L46" s="85">
        <v>91395.35</v>
      </c>
      <c r="M46" s="85">
        <v>91938</v>
      </c>
      <c r="N46" s="114">
        <f t="shared" si="1"/>
        <v>1.9319032621468724E-2</v>
      </c>
    </row>
    <row r="47" spans="1:14">
      <c r="A47" s="103" t="s">
        <v>1649</v>
      </c>
      <c r="B47" s="103">
        <v>138.5</v>
      </c>
      <c r="C47" s="103">
        <v>141.85</v>
      </c>
      <c r="D47" s="103">
        <v>130</v>
      </c>
      <c r="E47" s="103">
        <v>133.93</v>
      </c>
      <c r="F47" s="104">
        <v>9919440</v>
      </c>
      <c r="G47" s="112">
        <f t="shared" si="0"/>
        <v>-3.4877855444260364E-2</v>
      </c>
      <c r="I47" s="105">
        <v>45593</v>
      </c>
      <c r="J47" s="85">
        <v>90633.65</v>
      </c>
      <c r="K47" s="85">
        <v>91054.83</v>
      </c>
      <c r="L47" s="85">
        <v>89732.73</v>
      </c>
      <c r="M47" s="85">
        <v>90195.51</v>
      </c>
      <c r="N47" s="114">
        <f t="shared" si="1"/>
        <v>4.8084124209496704E-2</v>
      </c>
    </row>
    <row r="48" spans="1:14">
      <c r="A48" s="103" t="s">
        <v>1650</v>
      </c>
      <c r="B48" s="103">
        <v>134.02000000000001</v>
      </c>
      <c r="C48" s="103">
        <v>139.88999999999999</v>
      </c>
      <c r="D48" s="103">
        <v>133.5</v>
      </c>
      <c r="E48" s="103">
        <v>138.77000000000001</v>
      </c>
      <c r="F48" s="104">
        <v>13992924</v>
      </c>
      <c r="G48" s="112">
        <f t="shared" si="0"/>
        <v>3.544247127294442E-2</v>
      </c>
      <c r="I48" s="105">
        <v>45586</v>
      </c>
      <c r="J48" s="85">
        <v>85353.34</v>
      </c>
      <c r="K48" s="85">
        <v>86172.79</v>
      </c>
      <c r="L48" s="85">
        <v>85349.32</v>
      </c>
      <c r="M48" s="85">
        <v>86057.51</v>
      </c>
      <c r="N48" s="114">
        <f t="shared" si="1"/>
        <v>9.3375218651163827E-3</v>
      </c>
    </row>
    <row r="49" spans="1:14">
      <c r="A49" s="103" t="s">
        <v>1651</v>
      </c>
      <c r="B49" s="103">
        <v>136.80000000000001</v>
      </c>
      <c r="C49" s="103">
        <v>139.5</v>
      </c>
      <c r="D49" s="103">
        <v>131.6</v>
      </c>
      <c r="E49" s="103">
        <v>134.02000000000001</v>
      </c>
      <c r="F49" s="104">
        <v>7961754</v>
      </c>
      <c r="G49" s="112">
        <f t="shared" si="0"/>
        <v>-1.4920984932010328E-2</v>
      </c>
      <c r="I49" s="105">
        <v>45579</v>
      </c>
      <c r="J49" s="85">
        <v>85596.9</v>
      </c>
      <c r="K49" s="85">
        <v>86105.02</v>
      </c>
      <c r="L49" s="85">
        <v>85156.11</v>
      </c>
      <c r="M49" s="85">
        <v>85261.38</v>
      </c>
      <c r="N49" s="114">
        <f t="shared" si="1"/>
        <v>4.1348345412552945E-3</v>
      </c>
    </row>
    <row r="50" spans="1:14">
      <c r="A50" s="103" t="s">
        <v>1652</v>
      </c>
      <c r="B50" s="103">
        <v>129</v>
      </c>
      <c r="C50" s="103">
        <v>144</v>
      </c>
      <c r="D50" s="103">
        <v>128.25</v>
      </c>
      <c r="E50" s="103">
        <v>136.05000000000001</v>
      </c>
      <c r="F50" s="104">
        <v>25785556</v>
      </c>
      <c r="G50" s="112">
        <f t="shared" si="0"/>
        <v>5.1066131025958139E-2</v>
      </c>
      <c r="I50" s="105">
        <v>45572</v>
      </c>
      <c r="J50" s="85">
        <v>83651.990000000005</v>
      </c>
      <c r="K50" s="85">
        <v>85047.81</v>
      </c>
      <c r="L50" s="85">
        <v>83303.539999999994</v>
      </c>
      <c r="M50" s="85">
        <v>84910.29</v>
      </c>
      <c r="N50" s="114">
        <f t="shared" si="1"/>
        <v>4.6799327368080901E-2</v>
      </c>
    </row>
    <row r="51" spans="1:14">
      <c r="A51" s="103" t="s">
        <v>1653</v>
      </c>
      <c r="B51" s="103">
        <v>128.5</v>
      </c>
      <c r="C51" s="103">
        <v>131.25</v>
      </c>
      <c r="D51" s="103">
        <v>123.1</v>
      </c>
      <c r="E51" s="103">
        <v>129.44</v>
      </c>
      <c r="F51" s="104">
        <v>17537849</v>
      </c>
      <c r="G51" s="112">
        <f t="shared" si="0"/>
        <v>1.2357265759424418E-2</v>
      </c>
      <c r="I51" s="105">
        <v>45565</v>
      </c>
      <c r="J51" s="85">
        <v>81271.08</v>
      </c>
      <c r="K51" s="85">
        <v>81321.63</v>
      </c>
      <c r="L51" s="85">
        <v>80352.22</v>
      </c>
      <c r="M51" s="85">
        <v>81114.2</v>
      </c>
      <c r="N51" s="114">
        <f t="shared" si="1"/>
        <v>-8.99566893299375E-3</v>
      </c>
    </row>
    <row r="52" spans="1:14">
      <c r="A52" s="103" t="s">
        <v>1654</v>
      </c>
      <c r="B52" s="103">
        <v>128</v>
      </c>
      <c r="C52" s="103">
        <v>132.4</v>
      </c>
      <c r="D52" s="103">
        <v>126.28</v>
      </c>
      <c r="E52" s="103">
        <v>127.86</v>
      </c>
      <c r="F52" s="104">
        <v>21427600</v>
      </c>
      <c r="G52" s="112">
        <f t="shared" si="0"/>
        <v>7.8216660148733297E-5</v>
      </c>
      <c r="I52" s="105">
        <v>45558</v>
      </c>
      <c r="J52" s="85">
        <v>82113.42</v>
      </c>
      <c r="K52" s="85">
        <v>82463.05</v>
      </c>
      <c r="L52" s="85">
        <v>81548.639999999999</v>
      </c>
      <c r="M52" s="85">
        <v>81850.5</v>
      </c>
      <c r="N52" s="114">
        <f t="shared" si="1"/>
        <v>2.9680921632388335E-2</v>
      </c>
    </row>
    <row r="53" spans="1:14">
      <c r="A53" s="103" t="s">
        <v>1655</v>
      </c>
      <c r="B53" s="103">
        <v>114.9</v>
      </c>
      <c r="C53" s="103">
        <v>129.97</v>
      </c>
      <c r="D53" s="103">
        <v>114.55</v>
      </c>
      <c r="E53" s="103">
        <v>127.85</v>
      </c>
      <c r="F53" s="104">
        <v>20941244</v>
      </c>
      <c r="G53" s="112">
        <f t="shared" si="0"/>
        <v>0.10692640692640687</v>
      </c>
      <c r="I53" s="105">
        <v>45551</v>
      </c>
      <c r="J53" s="85">
        <v>79682.100000000006</v>
      </c>
      <c r="K53" s="85">
        <v>79993.17</v>
      </c>
      <c r="L53" s="85">
        <v>79368.179999999993</v>
      </c>
      <c r="M53" s="85">
        <v>79491.13</v>
      </c>
      <c r="N53" s="114">
        <f t="shared" si="1"/>
        <v>1.1144565286522967E-2</v>
      </c>
    </row>
    <row r="54" spans="1:14">
      <c r="A54" s="103" t="s">
        <v>1656</v>
      </c>
      <c r="B54" s="103">
        <v>119.9</v>
      </c>
      <c r="C54" s="103">
        <v>120.4</v>
      </c>
      <c r="D54" s="103">
        <v>114.8</v>
      </c>
      <c r="E54" s="103">
        <v>115.5</v>
      </c>
      <c r="F54" s="104">
        <v>7559396</v>
      </c>
      <c r="G54" s="112">
        <f t="shared" si="0"/>
        <v>-3.3472803347280311E-2</v>
      </c>
      <c r="I54" s="105">
        <v>45544</v>
      </c>
      <c r="J54" s="85">
        <v>79117.78</v>
      </c>
      <c r="K54" s="85">
        <v>79214.27</v>
      </c>
      <c r="L54" s="85">
        <v>78545.679999999993</v>
      </c>
      <c r="M54" s="85">
        <v>78615</v>
      </c>
      <c r="N54" s="114">
        <f t="shared" si="1"/>
        <v>4.2373027500506311E-3</v>
      </c>
    </row>
    <row r="55" spans="1:14">
      <c r="A55" s="103" t="s">
        <v>1657</v>
      </c>
      <c r="B55" s="103">
        <v>125.55</v>
      </c>
      <c r="C55" s="103">
        <v>129.1</v>
      </c>
      <c r="D55" s="103">
        <v>118</v>
      </c>
      <c r="E55" s="103">
        <v>119.5</v>
      </c>
      <c r="F55" s="104">
        <v>8956512</v>
      </c>
      <c r="G55" s="112">
        <f t="shared" si="0"/>
        <v>-4.7201403284962584E-2</v>
      </c>
      <c r="I55" s="105">
        <v>45537</v>
      </c>
      <c r="J55" s="85">
        <v>78715.16</v>
      </c>
      <c r="K55" s="85">
        <v>79014.679999999993</v>
      </c>
      <c r="L55" s="85">
        <v>78240.36</v>
      </c>
      <c r="M55" s="85">
        <v>78283.289999999994</v>
      </c>
      <c r="N55" s="114">
        <f t="shared" si="1"/>
        <v>-3.6624176461942382E-3</v>
      </c>
    </row>
    <row r="56" spans="1:14">
      <c r="A56" s="103" t="s">
        <v>1658</v>
      </c>
      <c r="B56" s="103">
        <v>134.12</v>
      </c>
      <c r="C56" s="103">
        <v>134.94999999999999</v>
      </c>
      <c r="D56" s="103">
        <v>124.6</v>
      </c>
      <c r="E56" s="103">
        <v>125.42</v>
      </c>
      <c r="F56" s="104">
        <v>7926925</v>
      </c>
      <c r="G56" s="112">
        <f t="shared" si="0"/>
        <v>-6.4518535093607721E-2</v>
      </c>
      <c r="I56" s="105">
        <v>45530</v>
      </c>
      <c r="J56" s="85">
        <v>78907.539999999994</v>
      </c>
      <c r="K56" s="85">
        <v>79160.39</v>
      </c>
      <c r="L56" s="85">
        <v>78553.86</v>
      </c>
      <c r="M56" s="85">
        <v>78571.05</v>
      </c>
      <c r="N56" s="114">
        <f t="shared" si="1"/>
        <v>9.5169827087997483E-3</v>
      </c>
    </row>
    <row r="57" spans="1:14">
      <c r="A57" s="103" t="s">
        <v>1659</v>
      </c>
      <c r="B57" s="103">
        <v>137.44999999999999</v>
      </c>
      <c r="C57" s="103">
        <v>138</v>
      </c>
      <c r="D57" s="103">
        <v>132.51</v>
      </c>
      <c r="E57" s="103">
        <v>134.07</v>
      </c>
      <c r="F57" s="104">
        <v>2650180</v>
      </c>
      <c r="G57" s="112">
        <f t="shared" si="0"/>
        <v>-2.4022712382616329E-2</v>
      </c>
      <c r="I57" s="105">
        <v>45523</v>
      </c>
      <c r="J57" s="85">
        <v>78272.12</v>
      </c>
      <c r="K57" s="85">
        <v>78382.039999999994</v>
      </c>
      <c r="L57" s="85">
        <v>77566.62</v>
      </c>
      <c r="M57" s="85">
        <v>77830.34</v>
      </c>
      <c r="N57" s="114">
        <f t="shared" si="1"/>
        <v>-1.9229218049843233E-3</v>
      </c>
    </row>
    <row r="58" spans="1:14">
      <c r="A58" s="103" t="s">
        <v>1660</v>
      </c>
      <c r="B58" s="103">
        <v>136.13999999999999</v>
      </c>
      <c r="C58" s="103">
        <v>138.94999999999999</v>
      </c>
      <c r="D58" s="103">
        <v>135.61000000000001</v>
      </c>
      <c r="E58" s="103">
        <v>137.37</v>
      </c>
      <c r="F58" s="104">
        <v>1732055</v>
      </c>
      <c r="G58" s="112">
        <f t="shared" si="0"/>
        <v>-3.5543304801973763E-3</v>
      </c>
      <c r="I58" s="105">
        <v>45516</v>
      </c>
      <c r="J58" s="85">
        <v>78867.3</v>
      </c>
      <c r="K58" s="85">
        <v>78886.460000000006</v>
      </c>
      <c r="L58" s="85">
        <v>77940.52</v>
      </c>
      <c r="M58" s="85">
        <v>77980.289999999994</v>
      </c>
      <c r="N58" s="114">
        <f t="shared" si="1"/>
        <v>1.1621146046519426E-2</v>
      </c>
    </row>
    <row r="59" spans="1:14">
      <c r="A59" s="103" t="s">
        <v>1661</v>
      </c>
      <c r="B59" s="103">
        <v>135</v>
      </c>
      <c r="C59" s="103">
        <v>138</v>
      </c>
      <c r="D59" s="103">
        <v>130.53</v>
      </c>
      <c r="E59" s="103">
        <v>137.86000000000001</v>
      </c>
      <c r="F59" s="104">
        <v>9443053</v>
      </c>
      <c r="G59" s="112">
        <f t="shared" si="0"/>
        <v>1.4571680894907457E-2</v>
      </c>
      <c r="I59" s="105">
        <v>45509</v>
      </c>
      <c r="J59" s="85">
        <v>78303.67</v>
      </c>
      <c r="K59" s="85">
        <v>78330.09</v>
      </c>
      <c r="L59" s="85">
        <v>76943.240000000005</v>
      </c>
      <c r="M59" s="85">
        <v>77084.479999999996</v>
      </c>
      <c r="N59" s="114">
        <f t="shared" si="1"/>
        <v>-2.2114803748020773E-2</v>
      </c>
    </row>
    <row r="60" spans="1:14">
      <c r="A60" s="103" t="s">
        <v>1662</v>
      </c>
      <c r="B60" s="103">
        <v>135.79</v>
      </c>
      <c r="C60" s="103">
        <v>138.80000000000001</v>
      </c>
      <c r="D60" s="103">
        <v>130.30000000000001</v>
      </c>
      <c r="E60" s="103">
        <v>135.88</v>
      </c>
      <c r="F60" s="104">
        <v>11462247</v>
      </c>
      <c r="G60" s="112">
        <f t="shared" si="0"/>
        <v>-7.5956763073327105E-3</v>
      </c>
      <c r="I60" s="105">
        <v>45502</v>
      </c>
      <c r="J60" s="85">
        <v>78023.89</v>
      </c>
      <c r="K60" s="85">
        <v>79055.990000000005</v>
      </c>
      <c r="L60" s="85">
        <v>78016.289999999994</v>
      </c>
      <c r="M60" s="85">
        <v>78827.740000000005</v>
      </c>
      <c r="N60" s="114">
        <f t="shared" si="1"/>
        <v>3.6740897982383558E-3</v>
      </c>
    </row>
    <row r="61" spans="1:14">
      <c r="A61" s="103" t="s">
        <v>1663</v>
      </c>
      <c r="B61" s="103">
        <v>141.63999999999999</v>
      </c>
      <c r="C61" s="103">
        <v>145</v>
      </c>
      <c r="D61" s="103">
        <v>136</v>
      </c>
      <c r="E61" s="103">
        <v>136.91999999999999</v>
      </c>
      <c r="F61" s="104">
        <v>11787188</v>
      </c>
      <c r="G61" s="112">
        <f t="shared" si="0"/>
        <v>-3.3733239237826451E-2</v>
      </c>
      <c r="I61" s="105">
        <v>45495</v>
      </c>
      <c r="J61" s="85">
        <v>79920.23</v>
      </c>
      <c r="K61" s="85">
        <v>80085.63</v>
      </c>
      <c r="L61" s="85">
        <v>78404.759999999995</v>
      </c>
      <c r="M61" s="85">
        <v>78539.179999999993</v>
      </c>
      <c r="N61" s="114">
        <f t="shared" si="1"/>
        <v>-3.2239549704518367E-2</v>
      </c>
    </row>
    <row r="62" spans="1:14">
      <c r="A62" s="103" t="s">
        <v>1664</v>
      </c>
      <c r="B62" s="103">
        <v>148</v>
      </c>
      <c r="C62" s="103">
        <v>153.26</v>
      </c>
      <c r="D62" s="103">
        <v>140.1</v>
      </c>
      <c r="E62" s="103">
        <v>141.69999999999999</v>
      </c>
      <c r="F62" s="104">
        <v>14943532</v>
      </c>
      <c r="G62" s="112">
        <f t="shared" si="0"/>
        <v>-3.3622041874104891E-2</v>
      </c>
      <c r="I62" s="105">
        <v>45488</v>
      </c>
      <c r="J62" s="85">
        <v>80743.460000000006</v>
      </c>
      <c r="K62" s="85">
        <v>81428.429999999993</v>
      </c>
      <c r="L62" s="85">
        <v>80743.460000000006</v>
      </c>
      <c r="M62" s="85">
        <v>81155.600000000006</v>
      </c>
      <c r="N62" s="114">
        <f t="shared" si="1"/>
        <v>7.3157229706750648E-3</v>
      </c>
    </row>
    <row r="63" spans="1:14">
      <c r="A63" s="103" t="s">
        <v>1665</v>
      </c>
      <c r="B63" s="103">
        <v>140</v>
      </c>
      <c r="C63" s="103">
        <v>148.1</v>
      </c>
      <c r="D63" s="103">
        <v>134.4</v>
      </c>
      <c r="E63" s="103">
        <v>146.63</v>
      </c>
      <c r="F63" s="104">
        <v>27752328</v>
      </c>
      <c r="G63" s="112">
        <f t="shared" si="0"/>
        <v>5.489208633093523E-2</v>
      </c>
      <c r="I63" s="105">
        <v>45481</v>
      </c>
      <c r="J63" s="85">
        <v>80332.789999999994</v>
      </c>
      <c r="K63" s="85">
        <v>80737.7</v>
      </c>
      <c r="L63" s="85">
        <v>80192.31</v>
      </c>
      <c r="M63" s="85">
        <v>80566.2</v>
      </c>
      <c r="N63" s="114">
        <f t="shared" si="1"/>
        <v>2.2098126301866472E-2</v>
      </c>
    </row>
    <row r="64" spans="1:14">
      <c r="A64" s="103" t="s">
        <v>1666</v>
      </c>
      <c r="B64" s="103">
        <v>123.99</v>
      </c>
      <c r="C64" s="103">
        <v>140.75</v>
      </c>
      <c r="D64" s="103">
        <v>122.52</v>
      </c>
      <c r="E64" s="103">
        <v>139</v>
      </c>
      <c r="F64" s="104">
        <v>28540698</v>
      </c>
      <c r="G64" s="112">
        <f t="shared" si="0"/>
        <v>0.12069660565992102</v>
      </c>
      <c r="I64" s="105">
        <v>45474</v>
      </c>
      <c r="J64" s="85">
        <v>78531.929999999993</v>
      </c>
      <c r="K64" s="85">
        <v>79536.22</v>
      </c>
      <c r="L64" s="85">
        <v>78427.789999999994</v>
      </c>
      <c r="M64" s="85">
        <v>78824.33</v>
      </c>
      <c r="N64" s="114">
        <f t="shared" si="1"/>
        <v>7.5702950029841176E-3</v>
      </c>
    </row>
    <row r="65" spans="1:14">
      <c r="A65" s="103" t="s">
        <v>1667</v>
      </c>
      <c r="B65" s="103">
        <v>125.8</v>
      </c>
      <c r="C65" s="103">
        <v>129.97999999999999</v>
      </c>
      <c r="D65" s="103">
        <v>121.6</v>
      </c>
      <c r="E65" s="103">
        <v>124.03</v>
      </c>
      <c r="F65" s="104">
        <v>14719151</v>
      </c>
      <c r="G65" s="112">
        <f t="shared" si="0"/>
        <v>-1.2892956625547236E-2</v>
      </c>
      <c r="I65" s="105">
        <v>45467</v>
      </c>
      <c r="J65" s="85">
        <v>79247.149999999994</v>
      </c>
      <c r="K65" s="85">
        <v>79388.11</v>
      </c>
      <c r="L65" s="85">
        <v>78167.429999999993</v>
      </c>
      <c r="M65" s="85">
        <v>78232.09</v>
      </c>
      <c r="N65" s="114">
        <f t="shared" si="1"/>
        <v>-7.2262556323462457E-3</v>
      </c>
    </row>
    <row r="66" spans="1:14">
      <c r="A66" s="103" t="s">
        <v>1668</v>
      </c>
      <c r="B66" s="103">
        <v>113.35</v>
      </c>
      <c r="C66" s="103">
        <v>127.97</v>
      </c>
      <c r="D66" s="103">
        <v>112.06</v>
      </c>
      <c r="E66" s="103">
        <v>125.65</v>
      </c>
      <c r="F66" s="104">
        <v>33845150</v>
      </c>
      <c r="G66" s="112">
        <f t="shared" si="0"/>
        <v>0.11818100916614749</v>
      </c>
      <c r="I66" s="105">
        <v>45463</v>
      </c>
      <c r="J66" s="85">
        <v>76896.820000000007</v>
      </c>
      <c r="K66" s="85">
        <v>78890.37</v>
      </c>
      <c r="L66" s="85">
        <v>76896.81</v>
      </c>
      <c r="M66" s="85">
        <v>78801.53</v>
      </c>
      <c r="N66" s="114">
        <f t="shared" si="1"/>
        <v>7.5751209241014861E-2</v>
      </c>
    </row>
    <row r="67" spans="1:14">
      <c r="A67" s="103" t="s">
        <v>1669</v>
      </c>
      <c r="B67" s="103">
        <v>106.48</v>
      </c>
      <c r="C67" s="103">
        <v>113.25</v>
      </c>
      <c r="D67" s="103">
        <v>104.06</v>
      </c>
      <c r="E67" s="103">
        <v>112.37</v>
      </c>
      <c r="F67" s="104">
        <v>12848274</v>
      </c>
      <c r="G67" s="112">
        <f t="shared" si="0"/>
        <v>5.1661207299953382E-2</v>
      </c>
      <c r="I67" s="105">
        <v>45453</v>
      </c>
      <c r="J67" s="85">
        <v>73841.919999999998</v>
      </c>
      <c r="K67" s="85">
        <v>73915.45</v>
      </c>
      <c r="L67" s="85">
        <v>72981.34</v>
      </c>
      <c r="M67" s="85">
        <v>73252.56</v>
      </c>
      <c r="N67" s="114">
        <f t="shared" si="1"/>
        <v>-3.0733474252483517E-2</v>
      </c>
    </row>
    <row r="68" spans="1:14">
      <c r="A68" s="103" t="s">
        <v>1670</v>
      </c>
      <c r="B68" s="103">
        <v>114</v>
      </c>
      <c r="C68" s="103">
        <v>114.49</v>
      </c>
      <c r="D68" s="103">
        <v>104.12</v>
      </c>
      <c r="E68" s="103">
        <v>106.85</v>
      </c>
      <c r="F68" s="104">
        <v>10396155</v>
      </c>
      <c r="G68" s="112">
        <f t="shared" ref="G68:G131" si="2">E68/E69-1</f>
        <v>-6.2472580503641351E-2</v>
      </c>
      <c r="I68" s="105">
        <v>45446</v>
      </c>
      <c r="J68" s="85">
        <v>76091.42</v>
      </c>
      <c r="K68" s="85">
        <v>76209.960000000006</v>
      </c>
      <c r="L68" s="85">
        <v>75495.38</v>
      </c>
      <c r="M68" s="85">
        <v>75575.25</v>
      </c>
      <c r="N68" s="114">
        <f t="shared" ref="N68:N131" si="3">M68/M69-1</f>
        <v>7.6498845035621876E-4</v>
      </c>
    </row>
    <row r="69" spans="1:14">
      <c r="A69" s="103" t="s">
        <v>1671</v>
      </c>
      <c r="B69" s="103">
        <v>114.6</v>
      </c>
      <c r="C69" s="103">
        <v>116.8</v>
      </c>
      <c r="D69" s="103">
        <v>113.1</v>
      </c>
      <c r="E69" s="103">
        <v>113.97</v>
      </c>
      <c r="F69" s="104">
        <v>11541158</v>
      </c>
      <c r="G69" s="112">
        <f t="shared" si="2"/>
        <v>-2.7998950039374026E-3</v>
      </c>
      <c r="I69" s="105">
        <v>45439</v>
      </c>
      <c r="J69" s="85">
        <v>76089.66</v>
      </c>
      <c r="K69" s="85">
        <v>76187.44</v>
      </c>
      <c r="L69" s="85">
        <v>75485.62</v>
      </c>
      <c r="M69" s="85">
        <v>75517.48</v>
      </c>
      <c r="N69" s="114">
        <f t="shared" si="3"/>
        <v>5.7732672739863045E-3</v>
      </c>
    </row>
    <row r="70" spans="1:14">
      <c r="A70" s="103" t="s">
        <v>1672</v>
      </c>
      <c r="B70" s="103">
        <v>116.1</v>
      </c>
      <c r="C70" s="103">
        <v>116.1</v>
      </c>
      <c r="D70" s="103">
        <v>112.26</v>
      </c>
      <c r="E70" s="103">
        <v>114.29</v>
      </c>
      <c r="F70" s="104">
        <v>7785830</v>
      </c>
      <c r="G70" s="112">
        <f t="shared" si="2"/>
        <v>-1.0133379525376629E-2</v>
      </c>
      <c r="I70" s="105">
        <v>45432</v>
      </c>
      <c r="J70" s="85">
        <v>75454.97</v>
      </c>
      <c r="K70" s="85">
        <v>75618.490000000005</v>
      </c>
      <c r="L70" s="85">
        <v>74734.240000000005</v>
      </c>
      <c r="M70" s="85">
        <v>75084</v>
      </c>
      <c r="N70" s="114">
        <f t="shared" si="3"/>
        <v>1.7410643570091811E-2</v>
      </c>
    </row>
    <row r="71" spans="1:14">
      <c r="A71" s="103" t="s">
        <v>1673</v>
      </c>
      <c r="B71" s="103">
        <v>113.41</v>
      </c>
      <c r="C71" s="103">
        <v>116.74</v>
      </c>
      <c r="D71" s="103">
        <v>113</v>
      </c>
      <c r="E71" s="103">
        <v>115.46</v>
      </c>
      <c r="F71" s="104">
        <v>13961669</v>
      </c>
      <c r="G71" s="112">
        <f t="shared" si="2"/>
        <v>2.2131728045325705E-2</v>
      </c>
      <c r="I71" s="105">
        <v>45425</v>
      </c>
      <c r="J71" s="85">
        <v>73315.02</v>
      </c>
      <c r="K71" s="85">
        <v>74114.22</v>
      </c>
      <c r="L71" s="85">
        <v>73109.759999999995</v>
      </c>
      <c r="M71" s="85">
        <v>73799.11</v>
      </c>
      <c r="N71" s="114">
        <f t="shared" si="3"/>
        <v>1.4222233338793799E-2</v>
      </c>
    </row>
    <row r="72" spans="1:14">
      <c r="A72" s="103" t="s">
        <v>1674</v>
      </c>
      <c r="B72" s="103">
        <v>113.02</v>
      </c>
      <c r="C72" s="103">
        <v>114.6</v>
      </c>
      <c r="D72" s="103">
        <v>111.4</v>
      </c>
      <c r="E72" s="103">
        <v>112.96</v>
      </c>
      <c r="F72" s="104">
        <v>11869586</v>
      </c>
      <c r="G72" s="112">
        <f t="shared" si="2"/>
        <v>7.6717216770740837E-3</v>
      </c>
      <c r="I72" s="105">
        <v>45418</v>
      </c>
      <c r="J72" s="85">
        <v>72485.86</v>
      </c>
      <c r="K72" s="85">
        <v>73060.740000000005</v>
      </c>
      <c r="L72" s="85">
        <v>72462.490000000005</v>
      </c>
      <c r="M72" s="85">
        <v>72764.240000000005</v>
      </c>
      <c r="N72" s="114">
        <f t="shared" si="3"/>
        <v>1.4913307100924644E-2</v>
      </c>
    </row>
    <row r="73" spans="1:14">
      <c r="A73" s="103" t="s">
        <v>1675</v>
      </c>
      <c r="B73" s="103">
        <v>118.05</v>
      </c>
      <c r="C73" s="103">
        <v>118.8</v>
      </c>
      <c r="D73" s="103">
        <v>111.73</v>
      </c>
      <c r="E73" s="103">
        <v>112.1</v>
      </c>
      <c r="F73" s="104">
        <v>19882688</v>
      </c>
      <c r="G73" s="112">
        <f t="shared" si="2"/>
        <v>-4.9113580456357719E-2</v>
      </c>
      <c r="I73" s="105">
        <v>45411</v>
      </c>
      <c r="J73" s="85">
        <v>73022.89</v>
      </c>
      <c r="K73" s="85">
        <v>73300.75</v>
      </c>
      <c r="L73" s="85">
        <v>71602.94</v>
      </c>
      <c r="M73" s="85">
        <v>71695.03</v>
      </c>
      <c r="N73" s="114">
        <f t="shared" si="3"/>
        <v>3.6617293912404314E-3</v>
      </c>
    </row>
    <row r="74" spans="1:14">
      <c r="A74" s="103" t="s">
        <v>1676</v>
      </c>
      <c r="B74" s="103">
        <v>115.1</v>
      </c>
      <c r="C74" s="103">
        <v>119.8</v>
      </c>
      <c r="D74" s="103">
        <v>112.51</v>
      </c>
      <c r="E74" s="103">
        <v>117.89</v>
      </c>
      <c r="F74" s="104">
        <v>82244210</v>
      </c>
      <c r="G74" s="112">
        <f t="shared" si="2"/>
        <v>2.4417796315606477E-2</v>
      </c>
      <c r="I74" s="105">
        <v>45404</v>
      </c>
      <c r="J74" s="85">
        <v>71009.67</v>
      </c>
      <c r="K74" s="85">
        <v>71861.179999999993</v>
      </c>
      <c r="L74" s="85">
        <v>70882.44</v>
      </c>
      <c r="M74" s="85">
        <v>71433.460000000006</v>
      </c>
      <c r="N74" s="114">
        <f t="shared" si="3"/>
        <v>1.2600259297028904E-2</v>
      </c>
    </row>
    <row r="75" spans="1:14">
      <c r="A75" s="103" t="s">
        <v>1677</v>
      </c>
      <c r="B75" s="103">
        <v>111.48</v>
      </c>
      <c r="C75" s="103">
        <v>118.48</v>
      </c>
      <c r="D75" s="103">
        <v>108.99</v>
      </c>
      <c r="E75" s="103">
        <v>115.08</v>
      </c>
      <c r="F75" s="104">
        <v>26563642</v>
      </c>
      <c r="G75" s="112">
        <f t="shared" si="2"/>
        <v>4.9521203830369398E-2</v>
      </c>
      <c r="I75" s="105">
        <v>45397</v>
      </c>
      <c r="J75" s="85">
        <v>70218.509999999995</v>
      </c>
      <c r="K75" s="85">
        <v>70608.88</v>
      </c>
      <c r="L75" s="85">
        <v>69914.100000000006</v>
      </c>
      <c r="M75" s="85">
        <v>70544.58</v>
      </c>
      <c r="N75" s="114">
        <f t="shared" si="3"/>
        <v>1.3280670290339192E-2</v>
      </c>
    </row>
    <row r="76" spans="1:14">
      <c r="A76" s="103" t="s">
        <v>1678</v>
      </c>
      <c r="B76" s="103">
        <v>108.99</v>
      </c>
      <c r="C76" s="103">
        <v>112.84</v>
      </c>
      <c r="D76" s="103">
        <v>107.95</v>
      </c>
      <c r="E76" s="103">
        <v>109.65</v>
      </c>
      <c r="F76" s="104">
        <v>5815006</v>
      </c>
      <c r="G76" s="112">
        <f t="shared" si="2"/>
        <v>7.3495636196601044E-3</v>
      </c>
      <c r="I76" s="105">
        <v>45390</v>
      </c>
      <c r="J76" s="85">
        <v>68716.639999999999</v>
      </c>
      <c r="K76" s="85">
        <v>69720.03</v>
      </c>
      <c r="L76" s="85">
        <v>68710.490000000005</v>
      </c>
      <c r="M76" s="85">
        <v>69619.98</v>
      </c>
      <c r="N76" s="114">
        <f t="shared" si="3"/>
        <v>4.2272688076229192E-2</v>
      </c>
    </row>
    <row r="77" spans="1:14">
      <c r="A77" s="103" t="s">
        <v>1679</v>
      </c>
      <c r="B77" s="103">
        <v>104.95</v>
      </c>
      <c r="C77" s="103">
        <v>109.9</v>
      </c>
      <c r="D77" s="103">
        <v>104.1</v>
      </c>
      <c r="E77" s="103">
        <v>108.85</v>
      </c>
      <c r="F77" s="104">
        <v>3445032</v>
      </c>
      <c r="G77" s="112">
        <f t="shared" si="2"/>
        <v>4.2424822830875231E-2</v>
      </c>
      <c r="I77" s="105">
        <v>45383</v>
      </c>
      <c r="J77" s="85">
        <v>67168.02</v>
      </c>
      <c r="K77" s="85">
        <v>67304.36</v>
      </c>
      <c r="L77" s="85">
        <v>66740.91</v>
      </c>
      <c r="M77" s="85">
        <v>66796.320000000007</v>
      </c>
      <c r="N77" s="114">
        <f t="shared" si="3"/>
        <v>1.9392103610128997E-2</v>
      </c>
    </row>
    <row r="78" spans="1:14">
      <c r="A78" s="103" t="s">
        <v>1680</v>
      </c>
      <c r="B78" s="103">
        <v>105</v>
      </c>
      <c r="C78" s="103">
        <v>106.45</v>
      </c>
      <c r="D78" s="103">
        <v>103</v>
      </c>
      <c r="E78" s="103">
        <v>104.42</v>
      </c>
      <c r="F78" s="104">
        <v>4181428</v>
      </c>
      <c r="G78" s="112">
        <f t="shared" si="2"/>
        <v>-5.4290884846175391E-3</v>
      </c>
      <c r="I78" s="105">
        <v>45376</v>
      </c>
      <c r="J78" s="85">
        <v>65412.92</v>
      </c>
      <c r="K78" s="85">
        <v>65656.490000000005</v>
      </c>
      <c r="L78" s="85">
        <v>65301.73</v>
      </c>
      <c r="M78" s="85">
        <v>65525.64</v>
      </c>
      <c r="N78" s="114">
        <f t="shared" si="3"/>
        <v>9.7878734175265159E-3</v>
      </c>
    </row>
    <row r="79" spans="1:14">
      <c r="A79" s="103" t="s">
        <v>1681</v>
      </c>
      <c r="B79" s="103">
        <v>109.5</v>
      </c>
      <c r="C79" s="103">
        <v>110.45</v>
      </c>
      <c r="D79" s="103">
        <v>104.51</v>
      </c>
      <c r="E79" s="103">
        <v>104.99</v>
      </c>
      <c r="F79" s="104">
        <v>6085133</v>
      </c>
      <c r="G79" s="112">
        <f t="shared" si="2"/>
        <v>-7.5710890043137691E-2</v>
      </c>
      <c r="I79" s="105">
        <v>45369</v>
      </c>
      <c r="J79" s="85">
        <v>64987.15</v>
      </c>
      <c r="K79" s="85">
        <v>65148.36</v>
      </c>
      <c r="L79" s="85">
        <v>64811.92</v>
      </c>
      <c r="M79" s="85">
        <v>64890.5</v>
      </c>
      <c r="N79" s="114">
        <f t="shared" si="3"/>
        <v>-1.3151791566611393E-2</v>
      </c>
    </row>
    <row r="80" spans="1:14">
      <c r="A80" s="103" t="s">
        <v>1682</v>
      </c>
      <c r="B80" s="103">
        <v>114</v>
      </c>
      <c r="C80" s="103">
        <v>116</v>
      </c>
      <c r="D80" s="103">
        <v>112.06</v>
      </c>
      <c r="E80" s="103">
        <v>113.59</v>
      </c>
      <c r="F80" s="104">
        <v>2968182</v>
      </c>
      <c r="G80" s="112">
        <f t="shared" si="2"/>
        <v>-7.6009086143630222E-3</v>
      </c>
      <c r="I80" s="105">
        <v>45362</v>
      </c>
      <c r="J80" s="85">
        <v>65948.02</v>
      </c>
      <c r="K80" s="85">
        <v>66119.34</v>
      </c>
      <c r="L80" s="85">
        <v>65698.759999999995</v>
      </c>
      <c r="M80" s="85">
        <v>65755.3</v>
      </c>
      <c r="N80" s="114">
        <f t="shared" si="3"/>
        <v>-2.9782392331845209E-3</v>
      </c>
    </row>
    <row r="81" spans="1:14">
      <c r="A81" s="103" t="s">
        <v>1683</v>
      </c>
      <c r="B81" s="103">
        <v>117</v>
      </c>
      <c r="C81" s="103">
        <v>117.95</v>
      </c>
      <c r="D81" s="103">
        <v>114.31</v>
      </c>
      <c r="E81" s="103">
        <v>114.46</v>
      </c>
      <c r="F81" s="104">
        <v>8498323</v>
      </c>
      <c r="G81" s="112">
        <f t="shared" si="2"/>
        <v>-2.22108320519393E-2</v>
      </c>
      <c r="I81" s="105">
        <v>45355</v>
      </c>
      <c r="J81" s="85">
        <v>65695.03</v>
      </c>
      <c r="K81" s="85">
        <v>66007.429999999993</v>
      </c>
      <c r="L81" s="85">
        <v>65532.58</v>
      </c>
      <c r="M81" s="85">
        <v>65951.72</v>
      </c>
      <c r="N81" s="114">
        <f t="shared" si="3"/>
        <v>4.1793715059552872E-2</v>
      </c>
    </row>
    <row r="82" spans="1:14">
      <c r="A82" s="103" t="s">
        <v>1684</v>
      </c>
      <c r="B82" s="103">
        <v>113.77</v>
      </c>
      <c r="C82" s="103">
        <v>117.8</v>
      </c>
      <c r="D82" s="103">
        <v>113.77</v>
      </c>
      <c r="E82" s="103">
        <v>117.06</v>
      </c>
      <c r="F82" s="104">
        <v>16081328</v>
      </c>
      <c r="G82" s="112">
        <f t="shared" si="2"/>
        <v>2.8917992440889551E-2</v>
      </c>
      <c r="I82" s="105">
        <v>45348</v>
      </c>
      <c r="J82" s="85">
        <v>62915.4</v>
      </c>
      <c r="K82" s="85">
        <v>61732.5</v>
      </c>
      <c r="L82" s="85">
        <v>62915.39</v>
      </c>
      <c r="M82" s="85">
        <v>63305.93</v>
      </c>
      <c r="N82" s="114">
        <f t="shared" si="3"/>
        <v>4.7075789608092888E-2</v>
      </c>
    </row>
    <row r="83" spans="1:14">
      <c r="A83" s="103" t="s">
        <v>1685</v>
      </c>
      <c r="B83" s="103">
        <v>110</v>
      </c>
      <c r="C83" s="103">
        <v>115.01</v>
      </c>
      <c r="D83" s="103">
        <v>108.51</v>
      </c>
      <c r="E83" s="103">
        <v>113.77</v>
      </c>
      <c r="F83" s="104">
        <v>5394457</v>
      </c>
      <c r="G83" s="112">
        <f t="shared" si="2"/>
        <v>3.3708886062147947E-2</v>
      </c>
      <c r="I83" s="105">
        <v>45341</v>
      </c>
      <c r="J83" s="85">
        <v>59444.46</v>
      </c>
      <c r="K83" s="85">
        <v>60504.480000000003</v>
      </c>
      <c r="L83" s="85">
        <v>59191.85</v>
      </c>
      <c r="M83" s="85">
        <v>60459.74</v>
      </c>
      <c r="N83" s="114">
        <f t="shared" si="3"/>
        <v>-9.916759613600612E-3</v>
      </c>
    </row>
    <row r="84" spans="1:14">
      <c r="A84" s="103" t="s">
        <v>1686</v>
      </c>
      <c r="B84" s="103">
        <v>110</v>
      </c>
      <c r="C84" s="103">
        <v>112.55</v>
      </c>
      <c r="D84" s="103">
        <v>103</v>
      </c>
      <c r="E84" s="103">
        <v>110.06</v>
      </c>
      <c r="F84" s="104">
        <v>7494756</v>
      </c>
      <c r="G84" s="112">
        <f t="shared" si="2"/>
        <v>-5.9609826589595016E-3</v>
      </c>
      <c r="I84" s="105">
        <v>45334</v>
      </c>
      <c r="J84" s="85">
        <v>62444.76</v>
      </c>
      <c r="K84" s="85">
        <v>62634.37</v>
      </c>
      <c r="L84" s="85">
        <v>60647.67</v>
      </c>
      <c r="M84" s="85">
        <v>61065.31</v>
      </c>
      <c r="N84" s="114">
        <f t="shared" si="3"/>
        <v>-4.2848627274937434E-2</v>
      </c>
    </row>
    <row r="85" spans="1:14">
      <c r="A85" s="103" t="s">
        <v>1687</v>
      </c>
      <c r="B85" s="103">
        <v>113.7</v>
      </c>
      <c r="C85" s="103">
        <v>114</v>
      </c>
      <c r="D85" s="103">
        <v>106.27</v>
      </c>
      <c r="E85" s="103">
        <v>110.72</v>
      </c>
      <c r="F85" s="104">
        <v>4963480</v>
      </c>
      <c r="G85" s="112">
        <f t="shared" si="2"/>
        <v>-1.0279789040851028E-2</v>
      </c>
      <c r="I85" s="105">
        <v>45328</v>
      </c>
      <c r="J85" s="85">
        <v>63178.09</v>
      </c>
      <c r="K85" s="85">
        <v>63885.09</v>
      </c>
      <c r="L85" s="85">
        <v>63176.959999999999</v>
      </c>
      <c r="M85" s="85">
        <v>63799.01</v>
      </c>
      <c r="N85" s="114">
        <f t="shared" si="3"/>
        <v>1.6333108823246345E-2</v>
      </c>
    </row>
    <row r="86" spans="1:14">
      <c r="A86" s="103" t="s">
        <v>1688</v>
      </c>
      <c r="B86" s="103">
        <v>113.9</v>
      </c>
      <c r="C86" s="103">
        <v>113.98</v>
      </c>
      <c r="D86" s="103">
        <v>110.4</v>
      </c>
      <c r="E86" s="103">
        <v>111.87</v>
      </c>
      <c r="F86" s="104">
        <v>8290660</v>
      </c>
      <c r="G86" s="112">
        <f t="shared" si="2"/>
        <v>-1.8684210526315748E-2</v>
      </c>
      <c r="I86" s="105">
        <v>45320</v>
      </c>
      <c r="J86" s="85">
        <v>63792.84</v>
      </c>
      <c r="K86" s="85">
        <v>63792.84</v>
      </c>
      <c r="L86" s="85">
        <v>62717.71</v>
      </c>
      <c r="M86" s="85">
        <v>62773.72</v>
      </c>
      <c r="N86" s="114">
        <f t="shared" si="3"/>
        <v>-1.8231166036721369E-2</v>
      </c>
    </row>
    <row r="87" spans="1:14">
      <c r="A87" s="103" t="s">
        <v>1689</v>
      </c>
      <c r="B87" s="103">
        <v>114.64</v>
      </c>
      <c r="C87" s="103">
        <v>117.01</v>
      </c>
      <c r="D87" s="103">
        <v>113.1</v>
      </c>
      <c r="E87" s="103">
        <v>114</v>
      </c>
      <c r="F87" s="104">
        <v>16387337</v>
      </c>
      <c r="G87" s="112">
        <f t="shared" si="2"/>
        <v>-5.4959434702956944E-3</v>
      </c>
      <c r="I87" s="105">
        <v>45313</v>
      </c>
      <c r="J87" s="85">
        <v>63354.43</v>
      </c>
      <c r="K87" s="85">
        <v>64090.879999999997</v>
      </c>
      <c r="L87" s="85">
        <v>63139.72</v>
      </c>
      <c r="M87" s="85">
        <v>63939.41</v>
      </c>
      <c r="N87" s="114">
        <f t="shared" si="3"/>
        <v>-5.1340164062601001E-3</v>
      </c>
    </row>
    <row r="88" spans="1:14">
      <c r="A88" s="103" t="s">
        <v>1690</v>
      </c>
      <c r="B88" s="103">
        <v>119.3</v>
      </c>
      <c r="C88" s="103">
        <v>120.81</v>
      </c>
      <c r="D88" s="103">
        <v>112.66</v>
      </c>
      <c r="E88" s="103">
        <v>114.63</v>
      </c>
      <c r="F88" s="104">
        <v>9357834</v>
      </c>
      <c r="G88" s="112">
        <f t="shared" si="2"/>
        <v>-3.2413269182071436E-2</v>
      </c>
      <c r="I88" s="105">
        <v>45306</v>
      </c>
      <c r="J88" s="85">
        <v>64885.15</v>
      </c>
      <c r="K88" s="85">
        <v>65173.87</v>
      </c>
      <c r="L88" s="85">
        <v>64130.95</v>
      </c>
      <c r="M88" s="85">
        <v>64269.37</v>
      </c>
      <c r="N88" s="114">
        <f t="shared" si="3"/>
        <v>5.0360368522706089E-4</v>
      </c>
    </row>
    <row r="89" spans="1:14">
      <c r="A89" s="103" t="s">
        <v>1691</v>
      </c>
      <c r="B89" s="103">
        <v>117.25</v>
      </c>
      <c r="C89" s="103">
        <v>119</v>
      </c>
      <c r="D89" s="103">
        <v>114.01</v>
      </c>
      <c r="E89" s="103">
        <v>118.47</v>
      </c>
      <c r="F89" s="104">
        <v>4244540</v>
      </c>
      <c r="G89" s="112">
        <f t="shared" si="2"/>
        <v>9.0281918064900601E-3</v>
      </c>
      <c r="I89" s="105">
        <v>45299</v>
      </c>
      <c r="J89" s="85">
        <v>64684.23</v>
      </c>
      <c r="K89" s="85">
        <v>65069.43</v>
      </c>
      <c r="L89" s="85">
        <v>64183.519999999997</v>
      </c>
      <c r="M89" s="85">
        <v>64237.02</v>
      </c>
      <c r="N89" s="114">
        <f t="shared" si="3"/>
        <v>-6.5689500041601345E-3</v>
      </c>
    </row>
    <row r="90" spans="1:14">
      <c r="A90" s="103" t="s">
        <v>1692</v>
      </c>
      <c r="B90" s="103">
        <v>110.83</v>
      </c>
      <c r="C90" s="103">
        <v>119.21</v>
      </c>
      <c r="D90" s="103">
        <v>110.83</v>
      </c>
      <c r="E90" s="103">
        <v>117.41</v>
      </c>
      <c r="F90" s="104">
        <v>12497483</v>
      </c>
      <c r="G90" s="112">
        <f t="shared" si="2"/>
        <v>5.9274630097437608E-2</v>
      </c>
      <c r="I90" s="105">
        <v>45292</v>
      </c>
      <c r="J90" s="85">
        <v>62696.99</v>
      </c>
      <c r="K90" s="85">
        <v>64718.879999999997</v>
      </c>
      <c r="L90" s="85">
        <v>62672.959999999999</v>
      </c>
      <c r="M90" s="85">
        <v>64661.78</v>
      </c>
      <c r="N90" s="114">
        <f t="shared" si="3"/>
        <v>9.2795673283706526E-2</v>
      </c>
    </row>
    <row r="91" spans="1:14">
      <c r="A91" s="103" t="s">
        <v>1693</v>
      </c>
      <c r="B91" s="103">
        <v>116</v>
      </c>
      <c r="C91" s="103">
        <v>118.8</v>
      </c>
      <c r="D91" s="103">
        <v>107.05</v>
      </c>
      <c r="E91" s="103">
        <v>110.84</v>
      </c>
      <c r="F91" s="104">
        <v>13172713</v>
      </c>
      <c r="G91" s="112">
        <f t="shared" si="2"/>
        <v>-4.4070720137990516E-2</v>
      </c>
      <c r="I91" s="105">
        <v>45286</v>
      </c>
      <c r="J91" s="85">
        <v>61606.46</v>
      </c>
      <c r="K91" s="85">
        <v>61634.55</v>
      </c>
      <c r="L91" s="85">
        <v>59026.81</v>
      </c>
      <c r="M91" s="85">
        <v>59170.97</v>
      </c>
      <c r="N91" s="114">
        <f t="shared" si="3"/>
        <v>-9.2534783168138013E-2</v>
      </c>
    </row>
    <row r="92" spans="1:14">
      <c r="A92" s="103" t="s">
        <v>1694</v>
      </c>
      <c r="B92" s="103">
        <v>125.11</v>
      </c>
      <c r="C92" s="103">
        <v>126.5</v>
      </c>
      <c r="D92" s="103">
        <v>115</v>
      </c>
      <c r="E92" s="103">
        <v>115.95</v>
      </c>
      <c r="F92" s="104">
        <v>9214905</v>
      </c>
      <c r="G92" s="112">
        <f t="shared" si="2"/>
        <v>-7.0987901610447879E-2</v>
      </c>
      <c r="I92" s="105">
        <v>45278</v>
      </c>
      <c r="J92" s="85">
        <v>66525.7</v>
      </c>
      <c r="K92" s="85">
        <v>66586.61</v>
      </c>
      <c r="L92" s="85">
        <v>65064.94</v>
      </c>
      <c r="M92" s="85">
        <v>65204.67</v>
      </c>
      <c r="N92" s="114">
        <f t="shared" si="3"/>
        <v>-1.2234837375811214E-2</v>
      </c>
    </row>
    <row r="93" spans="1:14">
      <c r="A93" s="103" t="s">
        <v>1695</v>
      </c>
      <c r="B93" s="103">
        <v>129.47</v>
      </c>
      <c r="C93" s="103">
        <v>132.5</v>
      </c>
      <c r="D93" s="103">
        <v>121</v>
      </c>
      <c r="E93" s="103">
        <v>124.81</v>
      </c>
      <c r="F93" s="104">
        <v>38997781</v>
      </c>
      <c r="G93" s="112">
        <f t="shared" si="2"/>
        <v>-3.6365040148239713E-2</v>
      </c>
      <c r="I93" s="105">
        <v>45271</v>
      </c>
      <c r="J93" s="85">
        <v>66162.289999999994</v>
      </c>
      <c r="K93" s="85">
        <v>66564.039999999994</v>
      </c>
      <c r="L93" s="85">
        <v>65128.99</v>
      </c>
      <c r="M93" s="85">
        <v>66012.320000000007</v>
      </c>
      <c r="N93" s="114">
        <f t="shared" si="3"/>
        <v>5.631458218153873E-2</v>
      </c>
    </row>
    <row r="94" spans="1:14">
      <c r="A94" s="103" t="s">
        <v>1696</v>
      </c>
      <c r="B94" s="103">
        <v>112</v>
      </c>
      <c r="C94" s="103">
        <v>130.16999999999999</v>
      </c>
      <c r="D94" s="103">
        <v>111.16</v>
      </c>
      <c r="E94" s="103">
        <v>129.52000000000001</v>
      </c>
      <c r="F94" s="104">
        <v>21453472</v>
      </c>
      <c r="G94" s="112">
        <f t="shared" si="2"/>
        <v>0.16119777658239198</v>
      </c>
      <c r="I94" s="105">
        <v>45264</v>
      </c>
      <c r="J94" s="85">
        <v>62061.57</v>
      </c>
      <c r="K94" s="85">
        <v>62912.61</v>
      </c>
      <c r="L94" s="85">
        <v>62061.56</v>
      </c>
      <c r="M94" s="85">
        <v>62493.05</v>
      </c>
      <c r="N94" s="114">
        <f t="shared" si="3"/>
        <v>4.483614645650813E-2</v>
      </c>
    </row>
    <row r="95" spans="1:14">
      <c r="A95" s="103" t="s">
        <v>1697</v>
      </c>
      <c r="B95" s="103">
        <v>102.25</v>
      </c>
      <c r="C95" s="103">
        <v>116.5</v>
      </c>
      <c r="D95" s="103">
        <v>102.1</v>
      </c>
      <c r="E95" s="103">
        <v>111.54</v>
      </c>
      <c r="F95" s="104">
        <v>26122925</v>
      </c>
      <c r="G95" s="112">
        <f t="shared" si="2"/>
        <v>9.9783080260303691E-2</v>
      </c>
      <c r="I95" s="105">
        <v>45257</v>
      </c>
      <c r="J95" s="85">
        <v>59298.9</v>
      </c>
      <c r="K95" s="85">
        <v>59896.08</v>
      </c>
      <c r="L95" s="85">
        <v>58999.3</v>
      </c>
      <c r="M95" s="85">
        <v>59811.34</v>
      </c>
      <c r="N95" s="114">
        <f t="shared" si="3"/>
        <v>4.7888537011483878E-2</v>
      </c>
    </row>
    <row r="96" spans="1:14">
      <c r="A96" s="103" t="s">
        <v>1698</v>
      </c>
      <c r="B96" s="103">
        <v>97.5</v>
      </c>
      <c r="C96" s="103">
        <v>104.18</v>
      </c>
      <c r="D96" s="103">
        <v>95.82</v>
      </c>
      <c r="E96" s="103">
        <v>101.42</v>
      </c>
      <c r="F96" s="104">
        <v>18250817</v>
      </c>
      <c r="G96" s="112">
        <f t="shared" si="2"/>
        <v>4.5351473922902619E-2</v>
      </c>
      <c r="I96" s="105">
        <v>45250</v>
      </c>
      <c r="J96" s="85">
        <v>57099.82</v>
      </c>
      <c r="K96" s="85">
        <v>57309.26</v>
      </c>
      <c r="L96" s="85">
        <v>56738.39</v>
      </c>
      <c r="M96" s="85">
        <v>57077.96</v>
      </c>
      <c r="N96" s="114">
        <f t="shared" si="3"/>
        <v>9.8079421013317347E-3</v>
      </c>
    </row>
    <row r="97" spans="1:14">
      <c r="A97" s="103" t="s">
        <v>1699</v>
      </c>
      <c r="B97" s="103">
        <v>96.9</v>
      </c>
      <c r="C97" s="103">
        <v>101.2</v>
      </c>
      <c r="D97" s="103">
        <v>96.26</v>
      </c>
      <c r="E97" s="103">
        <v>97.02</v>
      </c>
      <c r="F97" s="104">
        <v>13904925</v>
      </c>
      <c r="G97" s="112">
        <f t="shared" si="2"/>
        <v>3.6205648081100161E-3</v>
      </c>
      <c r="I97" s="105">
        <v>45243</v>
      </c>
      <c r="J97" s="85">
        <v>55644.68</v>
      </c>
      <c r="K97" s="85">
        <v>56583.59</v>
      </c>
      <c r="L97" s="85">
        <v>55644.67</v>
      </c>
      <c r="M97" s="85">
        <v>56523.58</v>
      </c>
      <c r="N97" s="114">
        <f t="shared" si="3"/>
        <v>4.9446754533389647E-2</v>
      </c>
    </row>
    <row r="98" spans="1:14">
      <c r="A98" s="103" t="s">
        <v>1700</v>
      </c>
      <c r="B98" s="103">
        <v>93.98</v>
      </c>
      <c r="C98" s="103">
        <v>97.6</v>
      </c>
      <c r="D98" s="103">
        <v>93.3</v>
      </c>
      <c r="E98" s="103">
        <v>96.67</v>
      </c>
      <c r="F98" s="104">
        <v>14020508</v>
      </c>
      <c r="G98" s="112">
        <f t="shared" si="2"/>
        <v>3.4456928838951351E-2</v>
      </c>
      <c r="I98" s="105">
        <v>45236</v>
      </c>
      <c r="J98" s="85">
        <v>53286.64</v>
      </c>
      <c r="K98" s="85">
        <v>53944.89</v>
      </c>
      <c r="L98" s="85">
        <v>53166.85</v>
      </c>
      <c r="M98" s="85">
        <v>53860.36</v>
      </c>
      <c r="N98" s="114">
        <f t="shared" si="3"/>
        <v>4.6179198848860903E-2</v>
      </c>
    </row>
    <row r="99" spans="1:14">
      <c r="A99" s="103" t="s">
        <v>1701</v>
      </c>
      <c r="B99" s="103">
        <v>95.99</v>
      </c>
      <c r="C99" s="103">
        <v>96.68</v>
      </c>
      <c r="D99" s="103">
        <v>92.53</v>
      </c>
      <c r="E99" s="103">
        <v>93.45</v>
      </c>
      <c r="F99" s="104">
        <v>15272703</v>
      </c>
      <c r="G99" s="112">
        <f t="shared" si="2"/>
        <v>-2.0234850073390542E-2</v>
      </c>
      <c r="I99" s="105">
        <v>45229</v>
      </c>
      <c r="J99" s="85">
        <v>50971.839999999997</v>
      </c>
      <c r="K99" s="85">
        <v>51501.82</v>
      </c>
      <c r="L99" s="85">
        <v>50971.839999999997</v>
      </c>
      <c r="M99" s="85">
        <v>51482.92</v>
      </c>
      <c r="N99" s="114">
        <f t="shared" si="3"/>
        <v>8.0691870622009443E-3</v>
      </c>
    </row>
    <row r="100" spans="1:14">
      <c r="A100" s="103" t="s">
        <v>1702</v>
      </c>
      <c r="B100" s="103">
        <v>101</v>
      </c>
      <c r="C100" s="103">
        <v>101</v>
      </c>
      <c r="D100" s="103">
        <v>95.01</v>
      </c>
      <c r="E100" s="103">
        <v>95.38</v>
      </c>
      <c r="F100" s="104">
        <v>7606160</v>
      </c>
      <c r="G100" s="112">
        <f t="shared" si="2"/>
        <v>-4.467147435897445E-2</v>
      </c>
      <c r="I100" s="105">
        <v>45222</v>
      </c>
      <c r="J100" s="85">
        <v>50924.38</v>
      </c>
      <c r="K100" s="85">
        <v>51419.86</v>
      </c>
      <c r="L100" s="85">
        <v>50924.37</v>
      </c>
      <c r="M100" s="85">
        <v>51070.82</v>
      </c>
      <c r="N100" s="114">
        <f t="shared" si="3"/>
        <v>2.6934117010698477E-2</v>
      </c>
    </row>
    <row r="101" spans="1:14">
      <c r="A101" s="103" t="s">
        <v>1703</v>
      </c>
      <c r="B101" s="103">
        <v>98.7</v>
      </c>
      <c r="C101" s="103">
        <v>100.94</v>
      </c>
      <c r="D101" s="103">
        <v>94.85</v>
      </c>
      <c r="E101" s="103">
        <v>99.84</v>
      </c>
      <c r="F101" s="104">
        <v>12958933</v>
      </c>
      <c r="G101" s="112">
        <f t="shared" si="2"/>
        <v>2.7266179648111954E-2</v>
      </c>
      <c r="I101" s="105">
        <v>45215</v>
      </c>
      <c r="J101" s="85">
        <v>49705.41</v>
      </c>
      <c r="K101" s="85">
        <v>49919.03</v>
      </c>
      <c r="L101" s="85">
        <v>49317.59</v>
      </c>
      <c r="M101" s="85">
        <v>49731.35</v>
      </c>
      <c r="N101" s="114">
        <f t="shared" si="3"/>
        <v>4.2109904092030082E-2</v>
      </c>
    </row>
    <row r="102" spans="1:14">
      <c r="A102" s="103" t="s">
        <v>1704</v>
      </c>
      <c r="B102" s="103">
        <v>94.13</v>
      </c>
      <c r="C102" s="103">
        <v>98.1</v>
      </c>
      <c r="D102" s="103">
        <v>93</v>
      </c>
      <c r="E102" s="103">
        <v>97.19</v>
      </c>
      <c r="F102" s="104">
        <v>15178296</v>
      </c>
      <c r="G102" s="112">
        <f t="shared" si="2"/>
        <v>2.3807015695775702E-2</v>
      </c>
      <c r="I102" s="105">
        <v>45208</v>
      </c>
      <c r="J102" s="85">
        <v>47376.59</v>
      </c>
      <c r="K102" s="85">
        <v>47775.72</v>
      </c>
      <c r="L102" s="85">
        <v>47217.74</v>
      </c>
      <c r="M102" s="85">
        <v>47721.79</v>
      </c>
      <c r="N102" s="114">
        <f t="shared" si="3"/>
        <v>2.347798746994223E-2</v>
      </c>
    </row>
    <row r="103" spans="1:14">
      <c r="A103" s="103" t="s">
        <v>1705</v>
      </c>
      <c r="B103" s="103">
        <v>90.52</v>
      </c>
      <c r="C103" s="103">
        <v>96.95</v>
      </c>
      <c r="D103" s="103">
        <v>89.55</v>
      </c>
      <c r="E103" s="103">
        <v>94.93</v>
      </c>
      <c r="F103" s="104">
        <v>13357818</v>
      </c>
      <c r="G103" s="112">
        <f t="shared" si="2"/>
        <v>4.9646174259177389E-2</v>
      </c>
      <c r="I103" s="105">
        <v>45201</v>
      </c>
      <c r="J103" s="85">
        <v>46294.62</v>
      </c>
      <c r="K103" s="85">
        <v>46704.63</v>
      </c>
      <c r="L103" s="85">
        <v>46294.62</v>
      </c>
      <c r="M103" s="85">
        <v>46627.08</v>
      </c>
      <c r="N103" s="114">
        <f t="shared" si="3"/>
        <v>5.0310742823320709E-3</v>
      </c>
    </row>
    <row r="104" spans="1:14">
      <c r="A104" s="103" t="s">
        <v>1706</v>
      </c>
      <c r="B104" s="103">
        <v>96.6</v>
      </c>
      <c r="C104" s="103">
        <v>96.6</v>
      </c>
      <c r="D104" s="103">
        <v>89.7</v>
      </c>
      <c r="E104" s="103">
        <v>90.44</v>
      </c>
      <c r="F104" s="104">
        <v>8000036</v>
      </c>
      <c r="G104" s="112">
        <f t="shared" si="2"/>
        <v>-6.0656418778562537E-2</v>
      </c>
      <c r="I104" s="105">
        <v>45194</v>
      </c>
      <c r="J104" s="85">
        <v>46486.05</v>
      </c>
      <c r="K104" s="85">
        <v>46590.26</v>
      </c>
      <c r="L104" s="85">
        <v>46305.88</v>
      </c>
      <c r="M104" s="85">
        <v>46393.67</v>
      </c>
      <c r="N104" s="114">
        <f t="shared" si="3"/>
        <v>1.2891678505361659E-2</v>
      </c>
    </row>
    <row r="105" spans="1:14">
      <c r="A105" s="103" t="s">
        <v>1707</v>
      </c>
      <c r="B105" s="103">
        <v>95.97</v>
      </c>
      <c r="C105" s="103">
        <v>96.8</v>
      </c>
      <c r="D105" s="103">
        <v>94.95</v>
      </c>
      <c r="E105" s="103">
        <v>96.28</v>
      </c>
      <c r="F105" s="104">
        <v>8496903</v>
      </c>
      <c r="G105" s="112">
        <f t="shared" si="2"/>
        <v>1.1982341812066366E-2</v>
      </c>
      <c r="I105" s="105">
        <v>45187</v>
      </c>
      <c r="J105" s="85">
        <v>45824.42</v>
      </c>
      <c r="K105" s="85">
        <v>45907.08</v>
      </c>
      <c r="L105" s="85">
        <v>45662.7</v>
      </c>
      <c r="M105" s="85">
        <v>45803.19</v>
      </c>
      <c r="N105" s="114">
        <f t="shared" si="3"/>
        <v>-1.3635452875164766E-3</v>
      </c>
    </row>
    <row r="106" spans="1:14">
      <c r="A106" s="103" t="s">
        <v>1708</v>
      </c>
      <c r="B106" s="103">
        <v>97.5</v>
      </c>
      <c r="C106" s="103">
        <v>98.4</v>
      </c>
      <c r="D106" s="103">
        <v>94.55</v>
      </c>
      <c r="E106" s="103">
        <v>95.14</v>
      </c>
      <c r="F106" s="104">
        <v>11085986</v>
      </c>
      <c r="G106" s="112">
        <f t="shared" si="2"/>
        <v>-2.2299866406330304E-2</v>
      </c>
      <c r="I106" s="105">
        <v>45180</v>
      </c>
      <c r="J106" s="85">
        <v>46071.19</v>
      </c>
      <c r="K106" s="85">
        <v>46174.68</v>
      </c>
      <c r="L106" s="85">
        <v>45678.15</v>
      </c>
      <c r="M106" s="85">
        <v>45865.73</v>
      </c>
      <c r="N106" s="114">
        <f t="shared" si="3"/>
        <v>3.4635514321308403E-3</v>
      </c>
    </row>
    <row r="107" spans="1:14">
      <c r="A107" s="103" t="s">
        <v>1709</v>
      </c>
      <c r="B107" s="103">
        <v>97</v>
      </c>
      <c r="C107" s="103">
        <v>98.99</v>
      </c>
      <c r="D107" s="103">
        <v>95.5</v>
      </c>
      <c r="E107" s="103">
        <v>97.31</v>
      </c>
      <c r="F107" s="104">
        <v>7147720</v>
      </c>
      <c r="G107" s="112">
        <f t="shared" si="2"/>
        <v>1.5020340043809366E-2</v>
      </c>
      <c r="I107" s="105">
        <v>45173</v>
      </c>
      <c r="J107" s="85">
        <v>45461.58</v>
      </c>
      <c r="K107" s="85">
        <v>45788.74</v>
      </c>
      <c r="L107" s="85">
        <v>45448.02</v>
      </c>
      <c r="M107" s="85">
        <v>45707.42</v>
      </c>
      <c r="N107" s="114">
        <f t="shared" si="3"/>
        <v>-3.7305009561147684E-2</v>
      </c>
    </row>
    <row r="108" spans="1:14">
      <c r="A108" s="103" t="s">
        <v>1710</v>
      </c>
      <c r="B108" s="103">
        <v>99.06</v>
      </c>
      <c r="C108" s="103">
        <v>99.88</v>
      </c>
      <c r="D108" s="103">
        <v>94</v>
      </c>
      <c r="E108" s="103">
        <v>95.87</v>
      </c>
      <c r="F108" s="104">
        <v>8340591</v>
      </c>
      <c r="G108" s="112">
        <f t="shared" si="2"/>
        <v>-3.9089906785606865E-2</v>
      </c>
      <c r="I108" s="105">
        <v>45166</v>
      </c>
      <c r="J108" s="85">
        <v>47732.79</v>
      </c>
      <c r="K108" s="85">
        <v>47733.5</v>
      </c>
      <c r="L108" s="85">
        <v>47399.27</v>
      </c>
      <c r="M108" s="85">
        <v>47478.61</v>
      </c>
      <c r="N108" s="114">
        <f t="shared" si="3"/>
        <v>6.4618176338493427E-4</v>
      </c>
    </row>
    <row r="109" spans="1:14">
      <c r="A109" s="103" t="s">
        <v>1711</v>
      </c>
      <c r="B109" s="103">
        <v>100.19</v>
      </c>
      <c r="C109" s="103">
        <v>101</v>
      </c>
      <c r="D109" s="103">
        <v>97.5</v>
      </c>
      <c r="E109" s="103">
        <v>99.77</v>
      </c>
      <c r="F109" s="104">
        <v>19233297</v>
      </c>
      <c r="G109" s="112">
        <f t="shared" si="2"/>
        <v>-1.4617283950617344E-2</v>
      </c>
      <c r="I109" s="105">
        <v>45159</v>
      </c>
      <c r="J109" s="85">
        <v>48141.31</v>
      </c>
      <c r="K109" s="85">
        <v>48234.25</v>
      </c>
      <c r="L109" s="85">
        <v>47432.71</v>
      </c>
      <c r="M109" s="85">
        <v>47447.95</v>
      </c>
      <c r="N109" s="114">
        <f t="shared" si="3"/>
        <v>-2.3016220278694433E-2</v>
      </c>
    </row>
    <row r="110" spans="1:14">
      <c r="A110" s="103" t="s">
        <v>1712</v>
      </c>
      <c r="B110" s="103">
        <v>103</v>
      </c>
      <c r="C110" s="103">
        <v>103.45</v>
      </c>
      <c r="D110" s="103">
        <v>99.95</v>
      </c>
      <c r="E110" s="103">
        <v>101.25</v>
      </c>
      <c r="F110" s="104">
        <v>4724466</v>
      </c>
      <c r="G110" s="112">
        <f t="shared" si="2"/>
        <v>-1.1520062481694904E-2</v>
      </c>
      <c r="I110" s="105">
        <v>45153</v>
      </c>
      <c r="J110" s="85">
        <v>48478.19</v>
      </c>
      <c r="K110" s="85">
        <v>48794.12</v>
      </c>
      <c r="L110" s="85">
        <v>48293.02</v>
      </c>
      <c r="M110" s="85">
        <v>48565.75</v>
      </c>
      <c r="N110" s="114">
        <f t="shared" si="3"/>
        <v>3.7097315869694114E-3</v>
      </c>
    </row>
    <row r="111" spans="1:14">
      <c r="A111" s="103" t="s">
        <v>1713</v>
      </c>
      <c r="B111" s="103">
        <v>104</v>
      </c>
      <c r="C111" s="103">
        <v>105.7</v>
      </c>
      <c r="D111" s="103">
        <v>100</v>
      </c>
      <c r="E111" s="103">
        <v>102.43</v>
      </c>
      <c r="F111" s="104">
        <v>24004259</v>
      </c>
      <c r="G111" s="112">
        <f t="shared" si="2"/>
        <v>-1.8023200076694446E-2</v>
      </c>
      <c r="I111" s="105">
        <v>45145</v>
      </c>
      <c r="J111" s="85">
        <v>48716.46</v>
      </c>
      <c r="K111" s="85">
        <v>49034.92</v>
      </c>
      <c r="L111" s="85">
        <v>48276.54</v>
      </c>
      <c r="M111" s="85">
        <v>48386.25</v>
      </c>
      <c r="N111" s="114">
        <f t="shared" si="3"/>
        <v>7.3209743228785928E-3</v>
      </c>
    </row>
    <row r="112" spans="1:14">
      <c r="A112" s="103" t="s">
        <v>1714</v>
      </c>
      <c r="B112" s="103">
        <v>91.5</v>
      </c>
      <c r="C112" s="103">
        <v>107.8</v>
      </c>
      <c r="D112" s="103">
        <v>91.5</v>
      </c>
      <c r="E112" s="103">
        <v>104.31</v>
      </c>
      <c r="F112" s="104">
        <v>55598556</v>
      </c>
      <c r="G112" s="112">
        <f t="shared" si="2"/>
        <v>0.14916822738790358</v>
      </c>
      <c r="I112" s="105">
        <v>45138</v>
      </c>
      <c r="J112" s="85">
        <v>47372.54</v>
      </c>
      <c r="K112" s="85">
        <v>48126.5</v>
      </c>
      <c r="L112" s="85">
        <v>47372.54</v>
      </c>
      <c r="M112" s="85">
        <v>48034.59</v>
      </c>
      <c r="N112" s="114">
        <f t="shared" si="3"/>
        <v>4.2987475141033071E-2</v>
      </c>
    </row>
    <row r="113" spans="1:14">
      <c r="A113" s="103" t="s">
        <v>1715</v>
      </c>
      <c r="B113" s="103">
        <v>79.89</v>
      </c>
      <c r="C113" s="103">
        <v>91.29</v>
      </c>
      <c r="D113" s="103">
        <v>79.06</v>
      </c>
      <c r="E113" s="103">
        <v>90.77</v>
      </c>
      <c r="F113" s="104">
        <v>37002734</v>
      </c>
      <c r="G113" s="112">
        <f t="shared" si="2"/>
        <v>0.14826059456040475</v>
      </c>
      <c r="I113" s="105">
        <v>45131</v>
      </c>
      <c r="J113" s="85">
        <v>46070.67</v>
      </c>
      <c r="K113" s="85">
        <v>46195.7</v>
      </c>
      <c r="L113" s="85">
        <v>45872.67</v>
      </c>
      <c r="M113" s="85">
        <v>46054.81</v>
      </c>
      <c r="N113" s="114">
        <f t="shared" si="3"/>
        <v>2.2472054794338003E-2</v>
      </c>
    </row>
    <row r="114" spans="1:14">
      <c r="A114" s="103" t="s">
        <v>1716</v>
      </c>
      <c r="B114" s="103">
        <v>78.41</v>
      </c>
      <c r="C114" s="103">
        <v>79.75</v>
      </c>
      <c r="D114" s="103">
        <v>77.14</v>
      </c>
      <c r="E114" s="103">
        <v>79.05</v>
      </c>
      <c r="F114" s="104">
        <v>24453673</v>
      </c>
      <c r="G114" s="112">
        <f t="shared" si="2"/>
        <v>8.1622242060961359E-3</v>
      </c>
      <c r="I114" s="105">
        <v>45124</v>
      </c>
      <c r="J114" s="85">
        <v>45114.91</v>
      </c>
      <c r="K114" s="85">
        <v>45283.3</v>
      </c>
      <c r="L114" s="85">
        <v>45013.98</v>
      </c>
      <c r="M114" s="85">
        <v>45042.61</v>
      </c>
      <c r="N114" s="114">
        <f t="shared" si="3"/>
        <v>1.0261046734874713E-2</v>
      </c>
    </row>
    <row r="115" spans="1:14">
      <c r="A115" s="103" t="s">
        <v>1717</v>
      </c>
      <c r="B115" s="103">
        <v>79.010000000000005</v>
      </c>
      <c r="C115" s="103">
        <v>81.25</v>
      </c>
      <c r="D115" s="103">
        <v>77.849999999999994</v>
      </c>
      <c r="E115" s="103">
        <v>78.41</v>
      </c>
      <c r="F115" s="104">
        <v>17015419</v>
      </c>
      <c r="G115" s="112">
        <f t="shared" si="2"/>
        <v>-8.0961416824794075E-3</v>
      </c>
      <c r="I115" s="105">
        <v>45117</v>
      </c>
      <c r="J115" s="85">
        <v>44275.02</v>
      </c>
      <c r="K115" s="85">
        <v>44601.78</v>
      </c>
      <c r="L115" s="85">
        <v>44260.1</v>
      </c>
      <c r="M115" s="85">
        <v>44585.120000000003</v>
      </c>
      <c r="N115" s="114">
        <f t="shared" si="3"/>
        <v>1.5629513200756451E-2</v>
      </c>
    </row>
    <row r="116" spans="1:14">
      <c r="A116" s="103" t="s">
        <v>1718</v>
      </c>
      <c r="B116" s="103">
        <v>78.5</v>
      </c>
      <c r="C116" s="103">
        <v>79.7</v>
      </c>
      <c r="D116" s="103">
        <v>76.5</v>
      </c>
      <c r="E116" s="103">
        <v>79.05</v>
      </c>
      <c r="F116" s="104">
        <v>14665336</v>
      </c>
      <c r="G116" s="112">
        <f t="shared" si="2"/>
        <v>7.9475624743957196E-2</v>
      </c>
      <c r="I116" s="105">
        <v>45110</v>
      </c>
      <c r="J116" s="85">
        <v>43683.78</v>
      </c>
      <c r="K116" s="85">
        <v>43933.94</v>
      </c>
      <c r="L116" s="85">
        <v>43404.69</v>
      </c>
      <c r="M116" s="85">
        <v>43899</v>
      </c>
      <c r="N116" s="114">
        <f t="shared" si="3"/>
        <v>5.9412941542723807E-2</v>
      </c>
    </row>
    <row r="117" spans="1:14">
      <c r="A117" s="103" t="s">
        <v>1719</v>
      </c>
      <c r="B117" s="103">
        <v>69.02</v>
      </c>
      <c r="C117" s="103">
        <v>74.2</v>
      </c>
      <c r="D117" s="103">
        <v>68.8</v>
      </c>
      <c r="E117" s="103">
        <v>73.23</v>
      </c>
      <c r="F117" s="104">
        <v>9029991</v>
      </c>
      <c r="G117" s="112">
        <f t="shared" si="2"/>
        <v>7.4226199207862775E-2</v>
      </c>
      <c r="I117" s="105">
        <v>45103</v>
      </c>
      <c r="J117" s="85">
        <v>40334.050000000003</v>
      </c>
      <c r="K117" s="85">
        <v>41491.870000000003</v>
      </c>
      <c r="L117" s="85">
        <v>40334.050000000003</v>
      </c>
      <c r="M117" s="85">
        <v>41437.1</v>
      </c>
      <c r="N117" s="114">
        <f t="shared" si="3"/>
        <v>2.008531995969598E-2</v>
      </c>
    </row>
    <row r="118" spans="1:14">
      <c r="A118" s="103" t="s">
        <v>1720</v>
      </c>
      <c r="B118" s="103">
        <v>68.489999999999995</v>
      </c>
      <c r="C118" s="103">
        <v>69.47</v>
      </c>
      <c r="D118" s="103">
        <v>66.599999999999994</v>
      </c>
      <c r="E118" s="103">
        <v>68.17</v>
      </c>
      <c r="F118" s="104">
        <v>10638513</v>
      </c>
      <c r="G118" s="112">
        <f t="shared" si="2"/>
        <v>-4.6722149218862974E-3</v>
      </c>
      <c r="I118" s="105">
        <v>45096</v>
      </c>
      <c r="J118" s="85">
        <v>41411.760000000002</v>
      </c>
      <c r="K118" s="85">
        <v>41484.32</v>
      </c>
      <c r="L118" s="85">
        <v>41610.269999999997</v>
      </c>
      <c r="M118" s="85">
        <v>40621.21</v>
      </c>
      <c r="N118" s="114">
        <f t="shared" si="3"/>
        <v>-2.7803466105288943E-2</v>
      </c>
    </row>
    <row r="119" spans="1:14">
      <c r="A119" s="103" t="s">
        <v>1721</v>
      </c>
      <c r="B119" s="103">
        <v>69.7</v>
      </c>
      <c r="C119" s="103">
        <v>69.900000000000006</v>
      </c>
      <c r="D119" s="103">
        <v>66</v>
      </c>
      <c r="E119" s="103">
        <v>68.489999999999995</v>
      </c>
      <c r="F119" s="104">
        <v>7527208</v>
      </c>
      <c r="G119" s="112">
        <f t="shared" si="2"/>
        <v>-1.9470293486041457E-2</v>
      </c>
      <c r="I119" s="105">
        <v>45089</v>
      </c>
      <c r="J119" s="85">
        <v>41915.660000000003</v>
      </c>
      <c r="K119" s="85">
        <v>42029.14</v>
      </c>
      <c r="L119" s="85">
        <v>41715.31</v>
      </c>
      <c r="M119" s="85">
        <v>41782.92</v>
      </c>
      <c r="N119" s="114">
        <f t="shared" si="3"/>
        <v>2.7594356716458268E-3</v>
      </c>
    </row>
    <row r="120" spans="1:14">
      <c r="A120" s="103" t="s">
        <v>1722</v>
      </c>
      <c r="B120" s="103">
        <v>72.7</v>
      </c>
      <c r="C120" s="103">
        <v>72.73</v>
      </c>
      <c r="D120" s="103">
        <v>69.099999999999994</v>
      </c>
      <c r="E120" s="103">
        <v>69.849999999999994</v>
      </c>
      <c r="F120" s="104">
        <v>5745877</v>
      </c>
      <c r="G120" s="112">
        <f t="shared" si="2"/>
        <v>-3.2280410085896549E-2</v>
      </c>
      <c r="I120" s="105">
        <v>45082</v>
      </c>
      <c r="J120" s="85">
        <v>41390.47</v>
      </c>
      <c r="K120" s="85">
        <v>41681.68</v>
      </c>
      <c r="L120" s="85">
        <v>41375.57</v>
      </c>
      <c r="M120" s="85">
        <v>41667.94</v>
      </c>
      <c r="N120" s="114">
        <f t="shared" si="3"/>
        <v>7.9312898916934493E-3</v>
      </c>
    </row>
    <row r="121" spans="1:14">
      <c r="A121" s="103" t="s">
        <v>1723</v>
      </c>
      <c r="B121" s="103">
        <v>72.900000000000006</v>
      </c>
      <c r="C121" s="103">
        <v>75.099999999999994</v>
      </c>
      <c r="D121" s="103">
        <v>71.599999999999994</v>
      </c>
      <c r="E121" s="103">
        <v>72.180000000000007</v>
      </c>
      <c r="F121" s="104">
        <v>14688267</v>
      </c>
      <c r="G121" s="112">
        <f t="shared" si="2"/>
        <v>-1.3852334118291676E-4</v>
      </c>
      <c r="I121" s="105">
        <v>45075</v>
      </c>
      <c r="J121" s="85">
        <v>41005.15</v>
      </c>
      <c r="K121" s="85">
        <v>41649.129999999997</v>
      </c>
      <c r="L121" s="85">
        <v>41005.15</v>
      </c>
      <c r="M121" s="85">
        <v>41340.06</v>
      </c>
      <c r="N121" s="114">
        <f t="shared" si="3"/>
        <v>3.5198395147379991E-3</v>
      </c>
    </row>
    <row r="122" spans="1:14">
      <c r="A122" s="103" t="s">
        <v>1724</v>
      </c>
      <c r="B122" s="103">
        <v>73</v>
      </c>
      <c r="C122" s="103">
        <v>73.7</v>
      </c>
      <c r="D122" s="103">
        <v>71.7</v>
      </c>
      <c r="E122" s="103">
        <v>72.19</v>
      </c>
      <c r="F122" s="104">
        <v>6302331</v>
      </c>
      <c r="G122" s="112">
        <f t="shared" si="2"/>
        <v>-1.2313585989875531E-2</v>
      </c>
      <c r="I122" s="105">
        <v>45068</v>
      </c>
      <c r="J122" s="85">
        <v>41600.629999999997</v>
      </c>
      <c r="K122" s="85">
        <v>41690.269999999997</v>
      </c>
      <c r="L122" s="85">
        <v>41155.47</v>
      </c>
      <c r="M122" s="85">
        <v>41195.06</v>
      </c>
      <c r="N122" s="114">
        <f t="shared" si="3"/>
        <v>-1.2545058034316714E-2</v>
      </c>
    </row>
    <row r="123" spans="1:14">
      <c r="A123" s="103" t="s">
        <v>1725</v>
      </c>
      <c r="B123" s="103">
        <v>73</v>
      </c>
      <c r="C123" s="103">
        <v>74.989999999999995</v>
      </c>
      <c r="D123" s="103">
        <v>71.819999999999993</v>
      </c>
      <c r="E123" s="103">
        <v>73.09</v>
      </c>
      <c r="F123" s="104">
        <v>10664197</v>
      </c>
      <c r="G123" s="112">
        <f t="shared" si="2"/>
        <v>2.7438606118810327E-3</v>
      </c>
      <c r="I123" s="105">
        <v>45061</v>
      </c>
      <c r="J123" s="85">
        <v>41498.01</v>
      </c>
      <c r="K123" s="85">
        <v>41716.25</v>
      </c>
      <c r="L123" s="85">
        <v>41310.19</v>
      </c>
      <c r="M123" s="85">
        <v>41718.42</v>
      </c>
      <c r="N123" s="114">
        <f t="shared" si="3"/>
        <v>-2.6553037103727029E-3</v>
      </c>
    </row>
    <row r="124" spans="1:14">
      <c r="A124" s="103" t="s">
        <v>1726</v>
      </c>
      <c r="B124" s="103">
        <v>77.010000000000005</v>
      </c>
      <c r="C124" s="103">
        <v>77.790000000000006</v>
      </c>
      <c r="D124" s="103">
        <v>71.36</v>
      </c>
      <c r="E124" s="103">
        <v>72.89</v>
      </c>
      <c r="F124" s="104">
        <v>13317117</v>
      </c>
      <c r="G124" s="112">
        <f t="shared" si="2"/>
        <v>-5.2884615384615308E-2</v>
      </c>
      <c r="I124" s="105">
        <v>45054</v>
      </c>
      <c r="J124" s="85">
        <v>42317.71</v>
      </c>
      <c r="K124" s="85">
        <v>42390.82</v>
      </c>
      <c r="L124" s="85">
        <v>41767.449999999997</v>
      </c>
      <c r="M124" s="85">
        <v>41829.49</v>
      </c>
      <c r="N124" s="114">
        <f t="shared" si="3"/>
        <v>-2.3409378634238198E-3</v>
      </c>
    </row>
    <row r="125" spans="1:14">
      <c r="A125" s="103" t="s">
        <v>1727</v>
      </c>
      <c r="B125" s="103">
        <v>73.900000000000006</v>
      </c>
      <c r="C125" s="103">
        <v>82.01</v>
      </c>
      <c r="D125" s="103">
        <v>73.900000000000006</v>
      </c>
      <c r="E125" s="103">
        <v>76.959999999999994</v>
      </c>
      <c r="F125" s="104">
        <v>37033130</v>
      </c>
      <c r="G125" s="112">
        <f t="shared" si="2"/>
        <v>6.1370845400634311E-2</v>
      </c>
      <c r="I125" s="105">
        <v>45048</v>
      </c>
      <c r="J125" s="85">
        <v>41580.85</v>
      </c>
      <c r="K125" s="85">
        <v>41991.4</v>
      </c>
      <c r="L125" s="85">
        <v>41665.050000000003</v>
      </c>
      <c r="M125" s="85">
        <v>41927.64</v>
      </c>
      <c r="N125" s="114">
        <f t="shared" si="3"/>
        <v>2.0147651143880285E-2</v>
      </c>
    </row>
    <row r="126" spans="1:14">
      <c r="A126" s="103" t="s">
        <v>1728</v>
      </c>
      <c r="B126" s="103">
        <v>75</v>
      </c>
      <c r="C126" s="103">
        <v>76.5</v>
      </c>
      <c r="D126" s="103">
        <v>72.12</v>
      </c>
      <c r="E126" s="103">
        <v>72.510000000000005</v>
      </c>
      <c r="F126" s="104">
        <v>5017040</v>
      </c>
      <c r="G126" s="112">
        <f t="shared" si="2"/>
        <v>-3.9729837107667865E-2</v>
      </c>
      <c r="I126" s="105">
        <v>45042</v>
      </c>
      <c r="J126" s="85">
        <v>41237.519999999997</v>
      </c>
      <c r="K126" s="85">
        <v>41364.6</v>
      </c>
      <c r="L126" s="85">
        <v>41055.129999999997</v>
      </c>
      <c r="M126" s="85">
        <v>41099.58</v>
      </c>
      <c r="N126" s="114">
        <f t="shared" si="3"/>
        <v>2.1192317573681896E-2</v>
      </c>
    </row>
    <row r="127" spans="1:14">
      <c r="A127" s="103" t="s">
        <v>1729</v>
      </c>
      <c r="B127" s="103">
        <v>73.680000000000007</v>
      </c>
      <c r="C127" s="103">
        <v>76.5</v>
      </c>
      <c r="D127" s="103">
        <v>73.680000000000007</v>
      </c>
      <c r="E127" s="103">
        <v>75.510000000000005</v>
      </c>
      <c r="F127" s="104">
        <v>4211762</v>
      </c>
      <c r="G127" s="112">
        <f t="shared" si="2"/>
        <v>1.6832749798006974E-2</v>
      </c>
      <c r="I127" s="105">
        <v>45033</v>
      </c>
      <c r="J127" s="85">
        <v>40302.129999999997</v>
      </c>
      <c r="K127" s="85">
        <v>40372.800000000003</v>
      </c>
      <c r="L127" s="85">
        <v>40182.370000000003</v>
      </c>
      <c r="M127" s="85">
        <v>40246.660000000003</v>
      </c>
      <c r="N127" s="114">
        <f t="shared" si="3"/>
        <v>1.0311302116934762E-2</v>
      </c>
    </row>
    <row r="128" spans="1:14">
      <c r="A128" s="103" t="s">
        <v>1730</v>
      </c>
      <c r="B128" s="103">
        <v>74.69</v>
      </c>
      <c r="C128" s="103">
        <v>74.98</v>
      </c>
      <c r="D128" s="103">
        <v>72.5</v>
      </c>
      <c r="E128" s="103">
        <v>74.260000000000005</v>
      </c>
      <c r="F128" s="104">
        <v>2276564</v>
      </c>
      <c r="G128" s="112">
        <f t="shared" si="2"/>
        <v>-2.6925148088308148E-4</v>
      </c>
      <c r="I128" s="105">
        <v>45026</v>
      </c>
      <c r="J128" s="85">
        <v>40084.61</v>
      </c>
      <c r="K128" s="85">
        <v>40183.81</v>
      </c>
      <c r="L128" s="85">
        <v>39815.57</v>
      </c>
      <c r="M128" s="85">
        <v>39835.9</v>
      </c>
      <c r="N128" s="114">
        <f t="shared" si="3"/>
        <v>-1.353726131176014E-3</v>
      </c>
    </row>
    <row r="129" spans="1:14">
      <c r="A129" s="103" t="s">
        <v>1731</v>
      </c>
      <c r="B129" s="103">
        <v>74</v>
      </c>
      <c r="C129" s="103">
        <v>75.05</v>
      </c>
      <c r="D129" s="103">
        <v>71.150000000000006</v>
      </c>
      <c r="E129" s="103">
        <v>74.28</v>
      </c>
      <c r="F129" s="104">
        <v>6663574</v>
      </c>
      <c r="G129" s="112">
        <f t="shared" si="2"/>
        <v>1.3646288209606894E-2</v>
      </c>
      <c r="I129" s="105">
        <v>45019</v>
      </c>
      <c r="J129" s="85">
        <v>40019.68</v>
      </c>
      <c r="K129" s="85">
        <v>40077.769999999997</v>
      </c>
      <c r="L129" s="85">
        <v>39864.01</v>
      </c>
      <c r="M129" s="85">
        <v>39889.9</v>
      </c>
      <c r="N129" s="114">
        <f t="shared" si="3"/>
        <v>-2.761724454048875E-3</v>
      </c>
    </row>
    <row r="130" spans="1:14">
      <c r="A130" s="103" t="s">
        <v>1732</v>
      </c>
      <c r="B130" s="103">
        <v>72.989999999999995</v>
      </c>
      <c r="C130" s="103">
        <v>76</v>
      </c>
      <c r="D130" s="103">
        <v>71.510000000000005</v>
      </c>
      <c r="E130" s="103">
        <v>73.28</v>
      </c>
      <c r="F130" s="104">
        <v>7766258</v>
      </c>
      <c r="G130" s="112">
        <f t="shared" si="2"/>
        <v>1.0758620689655274E-2</v>
      </c>
      <c r="I130" s="105">
        <v>45012</v>
      </c>
      <c r="J130" s="85">
        <v>39850.99</v>
      </c>
      <c r="K130" s="85">
        <v>40066.730000000003</v>
      </c>
      <c r="L130" s="85">
        <v>39840.71</v>
      </c>
      <c r="M130" s="85">
        <v>40000.370000000003</v>
      </c>
      <c r="N130" s="114">
        <f t="shared" si="3"/>
        <v>-2.2436822509161347E-2</v>
      </c>
    </row>
    <row r="131" spans="1:14">
      <c r="A131" s="103" t="s">
        <v>1733</v>
      </c>
      <c r="B131" s="103">
        <v>74</v>
      </c>
      <c r="C131" s="103">
        <v>75.3</v>
      </c>
      <c r="D131" s="103">
        <v>71.31</v>
      </c>
      <c r="E131" s="103">
        <v>72.5</v>
      </c>
      <c r="F131" s="104">
        <v>1664536</v>
      </c>
      <c r="G131" s="112">
        <f t="shared" si="2"/>
        <v>-4.1132125380240692E-2</v>
      </c>
      <c r="I131" s="105">
        <v>45005</v>
      </c>
      <c r="J131" s="85">
        <v>41334.86</v>
      </c>
      <c r="K131" s="85">
        <v>41398.03</v>
      </c>
      <c r="L131" s="85">
        <v>40909.24</v>
      </c>
      <c r="M131" s="85">
        <v>40918.449999999997</v>
      </c>
      <c r="N131" s="114">
        <f t="shared" si="3"/>
        <v>-2.241926948635653E-2</v>
      </c>
    </row>
    <row r="132" spans="1:14">
      <c r="A132" s="103" t="s">
        <v>1734</v>
      </c>
      <c r="B132" s="103">
        <v>75.989999999999995</v>
      </c>
      <c r="C132" s="103">
        <v>79.400000000000006</v>
      </c>
      <c r="D132" s="103">
        <v>73.55</v>
      </c>
      <c r="E132" s="103">
        <v>75.61</v>
      </c>
      <c r="F132" s="104">
        <v>19305862</v>
      </c>
      <c r="G132" s="112">
        <f t="shared" ref="G132:G195" si="4">E132/E133-1</f>
        <v>4.5170718745848326E-3</v>
      </c>
      <c r="I132" s="105">
        <v>44998</v>
      </c>
      <c r="J132" s="85">
        <v>41905.949999999997</v>
      </c>
      <c r="K132" s="85">
        <v>42291.77</v>
      </c>
      <c r="L132" s="85">
        <v>41785.480000000003</v>
      </c>
      <c r="M132" s="85">
        <v>41856.85</v>
      </c>
      <c r="N132" s="114">
        <f t="shared" ref="N132:N195" si="5">M132/M133-1</f>
        <v>1.0197341190264053E-2</v>
      </c>
    </row>
    <row r="133" spans="1:14">
      <c r="A133" s="103" t="s">
        <v>1735</v>
      </c>
      <c r="B133" s="103">
        <v>72.34</v>
      </c>
      <c r="C133" s="103">
        <v>75.989999999999995</v>
      </c>
      <c r="D133" s="103">
        <v>70.03</v>
      </c>
      <c r="E133" s="103">
        <v>75.27</v>
      </c>
      <c r="F133" s="104">
        <v>11682789</v>
      </c>
      <c r="G133" s="112">
        <f t="shared" si="4"/>
        <v>5.1403827350188447E-2</v>
      </c>
      <c r="I133" s="105">
        <v>44991</v>
      </c>
      <c r="J133" s="85">
        <v>41429.370000000003</v>
      </c>
      <c r="K133" s="85">
        <v>41797.71</v>
      </c>
      <c r="L133" s="85">
        <v>41344.54</v>
      </c>
      <c r="M133" s="85">
        <v>41434.33</v>
      </c>
      <c r="N133" s="114">
        <f t="shared" si="5"/>
        <v>1.5942475663941025E-2</v>
      </c>
    </row>
    <row r="134" spans="1:14">
      <c r="A134" s="103" t="s">
        <v>1736</v>
      </c>
      <c r="B134" s="103">
        <v>69.989999999999995</v>
      </c>
      <c r="C134" s="103">
        <v>72.5</v>
      </c>
      <c r="D134" s="103">
        <v>68.099999999999994</v>
      </c>
      <c r="E134" s="103">
        <v>71.59</v>
      </c>
      <c r="F134" s="104">
        <v>16027442</v>
      </c>
      <c r="G134" s="112">
        <f t="shared" si="4"/>
        <v>2.9183438757906854E-2</v>
      </c>
      <c r="I134" s="105">
        <v>44984</v>
      </c>
      <c r="J134" s="85">
        <v>40714.71</v>
      </c>
      <c r="K134" s="85">
        <v>40820.089999999997</v>
      </c>
      <c r="L134" s="85">
        <v>40614.69</v>
      </c>
      <c r="M134" s="85">
        <v>40784.129999999997</v>
      </c>
      <c r="N134" s="114">
        <f t="shared" si="5"/>
        <v>2.7165013999237431E-3</v>
      </c>
    </row>
    <row r="135" spans="1:14">
      <c r="A135" s="103" t="s">
        <v>1737</v>
      </c>
      <c r="B135" s="103">
        <v>77</v>
      </c>
      <c r="C135" s="103">
        <v>77</v>
      </c>
      <c r="D135" s="103">
        <v>69.31</v>
      </c>
      <c r="E135" s="103">
        <v>69.56</v>
      </c>
      <c r="F135" s="104">
        <v>3890311</v>
      </c>
      <c r="G135" s="112">
        <f t="shared" si="4"/>
        <v>-9.5918897842474649E-2</v>
      </c>
      <c r="I135" s="105">
        <v>44977</v>
      </c>
      <c r="J135" s="85">
        <v>41152.53</v>
      </c>
      <c r="K135" s="85">
        <v>41169.43</v>
      </c>
      <c r="L135" s="85">
        <v>40623.97</v>
      </c>
      <c r="M135" s="85">
        <v>40673.64</v>
      </c>
      <c r="N135" s="114">
        <f t="shared" si="5"/>
        <v>-2.5009258826448222E-2</v>
      </c>
    </row>
    <row r="136" spans="1:14">
      <c r="A136" s="103" t="s">
        <v>1738</v>
      </c>
      <c r="B136" s="103">
        <v>78.98</v>
      </c>
      <c r="C136" s="103">
        <v>80</v>
      </c>
      <c r="D136" s="103">
        <v>75.25</v>
      </c>
      <c r="E136" s="103">
        <v>76.94</v>
      </c>
      <c r="F136" s="104">
        <v>7837398</v>
      </c>
      <c r="G136" s="112">
        <f t="shared" si="4"/>
        <v>-2.0745831742395304E-2</v>
      </c>
      <c r="I136" s="105">
        <v>44970</v>
      </c>
      <c r="J136" s="85">
        <v>41726.129999999997</v>
      </c>
      <c r="K136" s="85">
        <v>41992.53</v>
      </c>
      <c r="L136" s="85">
        <v>41640.57</v>
      </c>
      <c r="M136" s="85">
        <v>41716.949999999997</v>
      </c>
      <c r="N136" s="114">
        <f t="shared" si="5"/>
        <v>1.2774221020874332E-2</v>
      </c>
    </row>
    <row r="137" spans="1:14">
      <c r="A137" s="103" t="s">
        <v>1739</v>
      </c>
      <c r="B137" s="103">
        <v>73.650000000000006</v>
      </c>
      <c r="C137" s="103">
        <v>81.89</v>
      </c>
      <c r="D137" s="103">
        <v>72.989999999999995</v>
      </c>
      <c r="E137" s="103">
        <v>78.569999999999993</v>
      </c>
      <c r="F137" s="104">
        <v>29481893</v>
      </c>
      <c r="G137" s="112">
        <f t="shared" si="4"/>
        <v>7.233519858059223E-2</v>
      </c>
      <c r="I137" s="105">
        <v>44963</v>
      </c>
      <c r="J137" s="85">
        <v>40745.800000000003</v>
      </c>
      <c r="K137" s="85">
        <v>41302.29</v>
      </c>
      <c r="L137" s="85">
        <v>40617.230000000003</v>
      </c>
      <c r="M137" s="85">
        <v>41190.769999999997</v>
      </c>
      <c r="N137" s="114">
        <f t="shared" si="5"/>
        <v>3.3094004780886088E-2</v>
      </c>
    </row>
    <row r="138" spans="1:14">
      <c r="A138" s="103" t="s">
        <v>1740</v>
      </c>
      <c r="B138" s="103">
        <v>75.95</v>
      </c>
      <c r="C138" s="103">
        <v>76.5</v>
      </c>
      <c r="D138" s="103">
        <v>71.56</v>
      </c>
      <c r="E138" s="103">
        <v>73.27</v>
      </c>
      <c r="F138" s="104">
        <v>11763937</v>
      </c>
      <c r="G138" s="112">
        <f t="shared" si="4"/>
        <v>-4.0466212676794178E-2</v>
      </c>
      <c r="I138" s="105">
        <v>44956</v>
      </c>
      <c r="J138" s="85">
        <v>40460.54</v>
      </c>
      <c r="K138" s="85">
        <v>40667.43</v>
      </c>
      <c r="L138" s="85">
        <v>39842.85</v>
      </c>
      <c r="M138" s="85">
        <v>39871.269999999997</v>
      </c>
      <c r="N138" s="114">
        <f t="shared" si="5"/>
        <v>3.7137010357253253E-2</v>
      </c>
    </row>
    <row r="139" spans="1:14">
      <c r="A139" s="103" t="s">
        <v>1741</v>
      </c>
      <c r="B139" s="103">
        <v>62</v>
      </c>
      <c r="C139" s="103">
        <v>78.45</v>
      </c>
      <c r="D139" s="103">
        <v>60.52</v>
      </c>
      <c r="E139" s="103">
        <v>76.36</v>
      </c>
      <c r="F139" s="104">
        <v>22061669</v>
      </c>
      <c r="G139" s="112">
        <f t="shared" si="4"/>
        <v>0.23760129659643425</v>
      </c>
      <c r="I139" s="105">
        <v>44949</v>
      </c>
      <c r="J139" s="85">
        <v>38454.81</v>
      </c>
      <c r="K139" s="85">
        <v>38553.120000000003</v>
      </c>
      <c r="L139" s="85">
        <v>38135.53</v>
      </c>
      <c r="M139" s="85">
        <v>38443.589999999997</v>
      </c>
      <c r="N139" s="114">
        <f t="shared" si="5"/>
        <v>-3.2153471422367463E-2</v>
      </c>
    </row>
    <row r="140" spans="1:14">
      <c r="A140" s="103" t="s">
        <v>1742</v>
      </c>
      <c r="B140" s="103">
        <v>63.15</v>
      </c>
      <c r="C140" s="103">
        <v>63.8</v>
      </c>
      <c r="D140" s="103">
        <v>60.05</v>
      </c>
      <c r="E140" s="103">
        <v>61.7</v>
      </c>
      <c r="F140" s="104">
        <v>2785720</v>
      </c>
      <c r="G140" s="112">
        <f t="shared" si="4"/>
        <v>-1.0742344075677313E-2</v>
      </c>
      <c r="I140" s="105">
        <v>44942</v>
      </c>
      <c r="J140" s="85">
        <v>40344.26</v>
      </c>
      <c r="K140" s="85">
        <v>40355.57</v>
      </c>
      <c r="L140" s="85">
        <v>39660.75</v>
      </c>
      <c r="M140" s="85">
        <v>39720.75</v>
      </c>
      <c r="N140" s="114">
        <f t="shared" si="5"/>
        <v>-1.9355996677921317E-2</v>
      </c>
    </row>
    <row r="141" spans="1:14">
      <c r="A141" s="103" t="s">
        <v>1743</v>
      </c>
      <c r="B141" s="103">
        <v>63.75</v>
      </c>
      <c r="C141" s="103">
        <v>63.96</v>
      </c>
      <c r="D141" s="103">
        <v>61.74</v>
      </c>
      <c r="E141" s="103">
        <v>62.37</v>
      </c>
      <c r="F141" s="104">
        <v>1269236</v>
      </c>
      <c r="G141" s="112">
        <f t="shared" si="4"/>
        <v>-2.6077451592754652E-2</v>
      </c>
      <c r="I141" s="105">
        <v>44935</v>
      </c>
      <c r="J141" s="85">
        <v>40946.25</v>
      </c>
      <c r="K141" s="85">
        <v>41074.730000000003</v>
      </c>
      <c r="L141" s="85">
        <v>40436.14</v>
      </c>
      <c r="M141" s="85">
        <v>40504.76</v>
      </c>
      <c r="N141" s="114">
        <f t="shared" si="5"/>
        <v>-7.6230096604509301E-3</v>
      </c>
    </row>
    <row r="142" spans="1:14">
      <c r="A142" s="103" t="s">
        <v>1744</v>
      </c>
      <c r="B142" s="103">
        <v>63.4</v>
      </c>
      <c r="C142" s="103">
        <v>65.55</v>
      </c>
      <c r="D142" s="103">
        <v>62.1</v>
      </c>
      <c r="E142" s="103">
        <v>64.040000000000006</v>
      </c>
      <c r="F142" s="104">
        <v>2863045</v>
      </c>
      <c r="G142" s="112">
        <f t="shared" si="4"/>
        <v>4.8642711438884323E-3</v>
      </c>
      <c r="I142" s="105">
        <v>44928</v>
      </c>
      <c r="J142" s="85">
        <v>40427.360000000001</v>
      </c>
      <c r="K142" s="85">
        <v>41030.92</v>
      </c>
      <c r="L142" s="85">
        <v>40348.89</v>
      </c>
      <c r="M142" s="85">
        <v>40815.9</v>
      </c>
      <c r="N142" s="114">
        <f t="shared" si="5"/>
        <v>1.6454672326047248E-2</v>
      </c>
    </row>
    <row r="143" spans="1:14">
      <c r="A143" s="103" t="s">
        <v>1745</v>
      </c>
      <c r="B143" s="103">
        <v>63.43</v>
      </c>
      <c r="C143" s="103">
        <v>64</v>
      </c>
      <c r="D143" s="103">
        <v>59.25</v>
      </c>
      <c r="E143" s="103">
        <v>63.73</v>
      </c>
      <c r="F143" s="104">
        <v>7174447</v>
      </c>
      <c r="G143" s="112">
        <f t="shared" si="4"/>
        <v>2.7074939564867062E-2</v>
      </c>
      <c r="I143" s="105">
        <v>44921</v>
      </c>
      <c r="J143" s="85">
        <v>39861.01</v>
      </c>
      <c r="K143" s="85">
        <v>40367.43</v>
      </c>
      <c r="L143" s="85">
        <v>39861.01</v>
      </c>
      <c r="M143" s="85">
        <v>40155.160000000003</v>
      </c>
      <c r="N143" s="114">
        <f t="shared" si="5"/>
        <v>-1.9908315235086738E-2</v>
      </c>
    </row>
    <row r="144" spans="1:14">
      <c r="A144" s="103" t="s">
        <v>1746</v>
      </c>
      <c r="B144" s="103">
        <v>65</v>
      </c>
      <c r="C144" s="103">
        <v>66</v>
      </c>
      <c r="D144" s="103">
        <v>61.45</v>
      </c>
      <c r="E144" s="103">
        <v>62.05</v>
      </c>
      <c r="F144" s="104">
        <v>2694696</v>
      </c>
      <c r="G144" s="112">
        <f t="shared" si="4"/>
        <v>-3.7835323305938862E-2</v>
      </c>
      <c r="I144" s="105">
        <v>44914</v>
      </c>
      <c r="J144" s="85">
        <v>41292.58</v>
      </c>
      <c r="K144" s="85">
        <v>41393.370000000003</v>
      </c>
      <c r="L144" s="85">
        <v>40814.559999999998</v>
      </c>
      <c r="M144" s="85">
        <v>40970.82</v>
      </c>
      <c r="N144" s="114">
        <f t="shared" si="5"/>
        <v>-1.371503266085794E-2</v>
      </c>
    </row>
    <row r="145" spans="1:14">
      <c r="A145" s="103" t="s">
        <v>1747</v>
      </c>
      <c r="B145" s="103">
        <v>66.290000000000006</v>
      </c>
      <c r="C145" s="103">
        <v>66.8</v>
      </c>
      <c r="D145" s="103">
        <v>62.11</v>
      </c>
      <c r="E145" s="103">
        <v>64.489999999999995</v>
      </c>
      <c r="F145" s="104">
        <v>12608156</v>
      </c>
      <c r="G145" s="112">
        <f t="shared" si="4"/>
        <v>-1.9461760681161677E-2</v>
      </c>
      <c r="I145" s="105">
        <v>44907</v>
      </c>
      <c r="J145" s="85">
        <v>41718.67</v>
      </c>
      <c r="K145" s="85">
        <v>41784.480000000003</v>
      </c>
      <c r="L145" s="85">
        <v>41507.79</v>
      </c>
      <c r="M145" s="85">
        <v>41540.550000000003</v>
      </c>
      <c r="N145" s="114">
        <f t="shared" si="5"/>
        <v>-1.7331259926363085E-3</v>
      </c>
    </row>
    <row r="146" spans="1:14">
      <c r="A146" s="103" t="s">
        <v>1748</v>
      </c>
      <c r="B146" s="103">
        <v>69.45</v>
      </c>
      <c r="C146" s="103">
        <v>69.45</v>
      </c>
      <c r="D146" s="103">
        <v>65.5</v>
      </c>
      <c r="E146" s="103">
        <v>65.77</v>
      </c>
      <c r="F146" s="104">
        <v>5113425</v>
      </c>
      <c r="G146" s="112">
        <f t="shared" si="4"/>
        <v>-4.1253644314868776E-2</v>
      </c>
      <c r="I146" s="105">
        <v>44900</v>
      </c>
      <c r="J146" s="85">
        <v>42201.760000000002</v>
      </c>
      <c r="K146" s="85">
        <v>42248.53</v>
      </c>
      <c r="L146" s="85">
        <v>41513.910000000003</v>
      </c>
      <c r="M146" s="85">
        <v>41612.67</v>
      </c>
      <c r="N146" s="114">
        <f t="shared" si="5"/>
        <v>-1.0902196126864494E-2</v>
      </c>
    </row>
    <row r="147" spans="1:14">
      <c r="A147" s="103" t="s">
        <v>1749</v>
      </c>
      <c r="B147" s="103">
        <v>69</v>
      </c>
      <c r="C147" s="103">
        <v>70.099999999999994</v>
      </c>
      <c r="D147" s="103">
        <v>66.5</v>
      </c>
      <c r="E147" s="103">
        <v>68.599999999999994</v>
      </c>
      <c r="F147" s="104">
        <v>9209438</v>
      </c>
      <c r="G147" s="112">
        <f t="shared" si="4"/>
        <v>8.8235294117646745E-3</v>
      </c>
      <c r="I147" s="105">
        <v>44893</v>
      </c>
      <c r="J147" s="85">
        <v>42582.47</v>
      </c>
      <c r="K147" s="85">
        <v>42582.47</v>
      </c>
      <c r="L147" s="85">
        <v>41963.54</v>
      </c>
      <c r="M147" s="85">
        <v>42071.34</v>
      </c>
      <c r="N147" s="114">
        <f t="shared" si="5"/>
        <v>-1.6132619321398867E-2</v>
      </c>
    </row>
    <row r="148" spans="1:14">
      <c r="A148" s="103" t="s">
        <v>1750</v>
      </c>
      <c r="B148" s="103">
        <v>67.52</v>
      </c>
      <c r="C148" s="103">
        <v>68.95</v>
      </c>
      <c r="D148" s="103">
        <v>67.5</v>
      </c>
      <c r="E148" s="103">
        <v>68</v>
      </c>
      <c r="F148" s="104">
        <v>2939198</v>
      </c>
      <c r="G148" s="112">
        <f t="shared" si="4"/>
        <v>-4.2465954019622609E-3</v>
      </c>
      <c r="I148" s="105">
        <v>44886</v>
      </c>
      <c r="J148" s="85">
        <v>42746.28</v>
      </c>
      <c r="K148" s="85">
        <v>42856.37</v>
      </c>
      <c r="L148" s="85">
        <v>42664.53</v>
      </c>
      <c r="M148" s="85">
        <v>42761.19</v>
      </c>
      <c r="N148" s="114">
        <f t="shared" si="5"/>
        <v>-2.0919081380686988E-3</v>
      </c>
    </row>
    <row r="149" spans="1:14">
      <c r="A149" s="103" t="s">
        <v>1751</v>
      </c>
      <c r="B149" s="103">
        <v>69.489999999999995</v>
      </c>
      <c r="C149" s="103">
        <v>70.290000000000006</v>
      </c>
      <c r="D149" s="103">
        <v>67.849999999999994</v>
      </c>
      <c r="E149" s="103">
        <v>68.290000000000006</v>
      </c>
      <c r="F149" s="104">
        <v>2392511</v>
      </c>
      <c r="G149" s="112">
        <f t="shared" si="4"/>
        <v>-1.7268671751330955E-2</v>
      </c>
      <c r="I149" s="105">
        <v>44879</v>
      </c>
      <c r="J149" s="85">
        <v>43083.08</v>
      </c>
      <c r="K149" s="85">
        <v>43083.08</v>
      </c>
      <c r="L149" s="85">
        <v>42761.88</v>
      </c>
      <c r="M149" s="85">
        <v>42850.83</v>
      </c>
      <c r="N149" s="114">
        <f t="shared" si="5"/>
        <v>1.9108690771548975E-2</v>
      </c>
    </row>
    <row r="150" spans="1:14">
      <c r="A150" s="103" t="s">
        <v>1752</v>
      </c>
      <c r="B150" s="103">
        <v>67.510000000000005</v>
      </c>
      <c r="C150" s="103">
        <v>71.25</v>
      </c>
      <c r="D150" s="103">
        <v>67.5</v>
      </c>
      <c r="E150" s="103">
        <v>69.489999999999995</v>
      </c>
      <c r="F150" s="104">
        <v>4973995</v>
      </c>
      <c r="G150" s="112">
        <f t="shared" si="4"/>
        <v>3.0703055473153329E-2</v>
      </c>
      <c r="I150" s="105">
        <v>44872</v>
      </c>
      <c r="J150" s="85">
        <v>42000.7</v>
      </c>
      <c r="K150" s="85">
        <v>42207.42</v>
      </c>
      <c r="L150" s="85">
        <v>41977.7</v>
      </c>
      <c r="M150" s="85">
        <v>42047.360000000001</v>
      </c>
      <c r="N150" s="114">
        <f t="shared" si="5"/>
        <v>1.8967804411813782E-2</v>
      </c>
    </row>
    <row r="151" spans="1:14">
      <c r="A151" s="103" t="s">
        <v>1753</v>
      </c>
      <c r="B151" s="103">
        <v>69.5</v>
      </c>
      <c r="C151" s="103">
        <v>70.5</v>
      </c>
      <c r="D151" s="103">
        <v>67.3</v>
      </c>
      <c r="E151" s="103">
        <v>67.42</v>
      </c>
      <c r="F151" s="104">
        <v>3772603</v>
      </c>
      <c r="G151" s="112">
        <f t="shared" si="4"/>
        <v>-3.0625449317038034E-2</v>
      </c>
      <c r="I151" s="105">
        <v>44865</v>
      </c>
      <c r="J151" s="85">
        <v>41176.69</v>
      </c>
      <c r="K151" s="85">
        <v>41376.089999999997</v>
      </c>
      <c r="L151" s="85">
        <v>41176.69</v>
      </c>
      <c r="M151" s="85">
        <v>41264.660000000003</v>
      </c>
      <c r="N151" s="114">
        <f t="shared" si="5"/>
        <v>-2.5564127807178871E-2</v>
      </c>
    </row>
    <row r="152" spans="1:14">
      <c r="A152" s="103" t="s">
        <v>1754</v>
      </c>
      <c r="B152" s="103">
        <v>71.849999999999994</v>
      </c>
      <c r="C152" s="103">
        <v>71.849999999999994</v>
      </c>
      <c r="D152" s="103">
        <v>69.13</v>
      </c>
      <c r="E152" s="103">
        <v>69.55</v>
      </c>
      <c r="F152" s="104">
        <v>3443779</v>
      </c>
      <c r="G152" s="112">
        <f t="shared" si="4"/>
        <v>-2.7136662470275574E-2</v>
      </c>
      <c r="I152" s="105">
        <v>44858</v>
      </c>
      <c r="J152" s="85">
        <v>42581.86</v>
      </c>
      <c r="K152" s="85">
        <v>42675.22</v>
      </c>
      <c r="L152" s="85">
        <v>42329.94</v>
      </c>
      <c r="M152" s="85">
        <v>42347.23</v>
      </c>
      <c r="N152" s="114">
        <f t="shared" si="5"/>
        <v>1.4172521191844645E-2</v>
      </c>
    </row>
    <row r="153" spans="1:14">
      <c r="A153" s="103" t="s">
        <v>1755</v>
      </c>
      <c r="B153" s="103">
        <v>71.900000000000006</v>
      </c>
      <c r="C153" s="103">
        <v>71.94</v>
      </c>
      <c r="D153" s="103">
        <v>70.5</v>
      </c>
      <c r="E153" s="103">
        <v>71.489999999999995</v>
      </c>
      <c r="F153" s="104">
        <v>10826579</v>
      </c>
      <c r="G153" s="112">
        <f t="shared" si="4"/>
        <v>-8.3857442348012068E-4</v>
      </c>
      <c r="I153" s="105">
        <v>44851</v>
      </c>
      <c r="J153" s="85">
        <v>41957.62</v>
      </c>
      <c r="K153" s="85">
        <v>41988.97</v>
      </c>
      <c r="L153" s="85">
        <v>41725.96</v>
      </c>
      <c r="M153" s="85">
        <v>41755.449999999997</v>
      </c>
      <c r="N153" s="114">
        <f t="shared" si="5"/>
        <v>-1.080720862776241E-2</v>
      </c>
    </row>
    <row r="154" spans="1:14">
      <c r="A154" s="103" t="s">
        <v>1756</v>
      </c>
      <c r="B154" s="103">
        <v>72.489999999999995</v>
      </c>
      <c r="C154" s="103">
        <v>72.900000000000006</v>
      </c>
      <c r="D154" s="103">
        <v>70.010000000000005</v>
      </c>
      <c r="E154" s="103">
        <v>71.55</v>
      </c>
      <c r="F154" s="104">
        <v>7084062</v>
      </c>
      <c r="G154" s="112">
        <f t="shared" si="4"/>
        <v>-4.1911148365469941E-4</v>
      </c>
      <c r="I154" s="105">
        <v>44844</v>
      </c>
      <c r="J154" s="85">
        <v>42195.48</v>
      </c>
      <c r="K154" s="85">
        <v>42442.239999999998</v>
      </c>
      <c r="L154" s="85">
        <v>42071.67</v>
      </c>
      <c r="M154" s="85">
        <v>42211.64</v>
      </c>
      <c r="N154" s="114">
        <f t="shared" si="5"/>
        <v>2.4263497987222049E-2</v>
      </c>
    </row>
    <row r="155" spans="1:14">
      <c r="A155" s="103" t="s">
        <v>1757</v>
      </c>
      <c r="B155" s="103">
        <v>67.260000000000005</v>
      </c>
      <c r="C155" s="103">
        <v>72</v>
      </c>
      <c r="D155" s="103">
        <v>67.05</v>
      </c>
      <c r="E155" s="103">
        <v>71.58</v>
      </c>
      <c r="F155" s="104">
        <v>22140113</v>
      </c>
      <c r="G155" s="112">
        <f t="shared" si="4"/>
        <v>2.6825419595466915E-2</v>
      </c>
      <c r="I155" s="105">
        <v>44837</v>
      </c>
      <c r="J155" s="85">
        <v>41126.99</v>
      </c>
      <c r="K155" s="85">
        <v>41403.730000000003</v>
      </c>
      <c r="L155" s="85">
        <v>41090.519999999997</v>
      </c>
      <c r="M155" s="85">
        <v>41211.699999999997</v>
      </c>
      <c r="N155" s="114">
        <f t="shared" si="5"/>
        <v>1.4619136975189129E-3</v>
      </c>
    </row>
    <row r="156" spans="1:14">
      <c r="A156" s="103" t="s">
        <v>1758</v>
      </c>
      <c r="B156" s="103">
        <v>80.61</v>
      </c>
      <c r="C156" s="103">
        <v>84.1</v>
      </c>
      <c r="D156" s="103">
        <v>69.709999999999994</v>
      </c>
      <c r="E156" s="103">
        <v>69.709999999999994</v>
      </c>
      <c r="F156" s="104">
        <v>5020147</v>
      </c>
      <c r="G156" s="112">
        <f t="shared" si="4"/>
        <v>-0.13874474919693602</v>
      </c>
      <c r="I156" s="105">
        <v>44830</v>
      </c>
      <c r="J156" s="85">
        <v>40651.39</v>
      </c>
      <c r="K156" s="85">
        <v>41196.629999999997</v>
      </c>
      <c r="L156" s="85">
        <v>40651.39</v>
      </c>
      <c r="M156" s="85">
        <v>41151.54</v>
      </c>
      <c r="N156" s="114">
        <f t="shared" si="5"/>
        <v>-8.8883611721316536E-3</v>
      </c>
    </row>
    <row r="157" spans="1:14">
      <c r="A157" s="103" t="s">
        <v>1759</v>
      </c>
      <c r="B157" s="103">
        <v>83.4</v>
      </c>
      <c r="C157" s="103">
        <v>84.78</v>
      </c>
      <c r="D157" s="103">
        <v>80.11</v>
      </c>
      <c r="E157" s="103">
        <v>80.94</v>
      </c>
      <c r="F157" s="104">
        <v>7135691</v>
      </c>
      <c r="G157" s="112">
        <f t="shared" si="4"/>
        <v>-2.6578472639807615E-2</v>
      </c>
      <c r="I157" s="105">
        <v>44823</v>
      </c>
      <c r="J157" s="85">
        <v>41745.14</v>
      </c>
      <c r="K157" s="85">
        <v>41896.620000000003</v>
      </c>
      <c r="L157" s="85">
        <v>41502.71</v>
      </c>
      <c r="M157" s="85">
        <v>41520.589999999997</v>
      </c>
      <c r="N157" s="114">
        <f t="shared" si="5"/>
        <v>-8.1624774946618128E-3</v>
      </c>
    </row>
    <row r="158" spans="1:14">
      <c r="A158" s="103" t="s">
        <v>1760</v>
      </c>
      <c r="B158" s="103">
        <v>87.5</v>
      </c>
      <c r="C158" s="103">
        <v>89</v>
      </c>
      <c r="D158" s="103">
        <v>82.7</v>
      </c>
      <c r="E158" s="103">
        <v>83.15</v>
      </c>
      <c r="F158" s="104">
        <v>2943891</v>
      </c>
      <c r="G158" s="112">
        <f t="shared" si="4"/>
        <v>-5.0039986290414618E-2</v>
      </c>
      <c r="I158" s="105">
        <v>44816</v>
      </c>
      <c r="J158" s="85">
        <v>42007.519999999997</v>
      </c>
      <c r="K158" s="85">
        <v>42137.8</v>
      </c>
      <c r="L158" s="85">
        <v>41812.089999999997</v>
      </c>
      <c r="M158" s="85">
        <v>41862.29</v>
      </c>
      <c r="N158" s="114">
        <f t="shared" si="5"/>
        <v>7.142976590612804E-5</v>
      </c>
    </row>
    <row r="159" spans="1:14">
      <c r="A159" s="103" t="s">
        <v>1761</v>
      </c>
      <c r="B159" s="103">
        <v>91</v>
      </c>
      <c r="C159" s="103">
        <v>91</v>
      </c>
      <c r="D159" s="103">
        <v>87.1</v>
      </c>
      <c r="E159" s="103">
        <v>87.53</v>
      </c>
      <c r="F159" s="104">
        <v>911986</v>
      </c>
      <c r="G159" s="112">
        <f t="shared" si="4"/>
        <v>-2.6037609880939172E-2</v>
      </c>
      <c r="I159" s="105">
        <v>44809</v>
      </c>
      <c r="J159" s="85">
        <v>42336.67</v>
      </c>
      <c r="K159" s="85">
        <v>42388.34</v>
      </c>
      <c r="L159" s="85">
        <v>41857.980000000003</v>
      </c>
      <c r="M159" s="85">
        <v>41859.300000000003</v>
      </c>
      <c r="N159" s="114">
        <f t="shared" si="5"/>
        <v>-1.5175862041381993E-2</v>
      </c>
    </row>
    <row r="160" spans="1:14">
      <c r="A160" s="103" t="s">
        <v>1762</v>
      </c>
      <c r="B160" s="103">
        <v>94.5</v>
      </c>
      <c r="C160" s="103">
        <v>94.87</v>
      </c>
      <c r="D160" s="103">
        <v>88.06</v>
      </c>
      <c r="E160" s="103">
        <v>89.87</v>
      </c>
      <c r="F160" s="104">
        <v>2185458</v>
      </c>
      <c r="G160" s="112">
        <f t="shared" si="4"/>
        <v>-4.1693324802729803E-2</v>
      </c>
      <c r="I160" s="105">
        <v>44802</v>
      </c>
      <c r="J160" s="85">
        <v>42583.360000000001</v>
      </c>
      <c r="K160" s="85">
        <v>42591.51</v>
      </c>
      <c r="L160" s="85">
        <v>41822.26</v>
      </c>
      <c r="M160" s="85">
        <v>42504.34</v>
      </c>
      <c r="N160" s="114">
        <f t="shared" si="5"/>
        <v>-7.5261531018296912E-3</v>
      </c>
    </row>
    <row r="161" spans="1:14">
      <c r="A161" s="103" t="s">
        <v>1763</v>
      </c>
      <c r="B161" s="103">
        <v>97.49</v>
      </c>
      <c r="C161" s="103">
        <v>98.5</v>
      </c>
      <c r="D161" s="103">
        <v>93.01</v>
      </c>
      <c r="E161" s="103">
        <v>93.78</v>
      </c>
      <c r="F161" s="104">
        <v>5060744</v>
      </c>
      <c r="G161" s="112">
        <f t="shared" si="4"/>
        <v>-2.6875583687869686E-2</v>
      </c>
      <c r="I161" s="105">
        <v>44795</v>
      </c>
      <c r="J161" s="85">
        <v>43256.81</v>
      </c>
      <c r="K161" s="85">
        <v>43317.91</v>
      </c>
      <c r="L161" s="85">
        <v>42787.14</v>
      </c>
      <c r="M161" s="85">
        <v>42826.66</v>
      </c>
      <c r="N161" s="114">
        <f t="shared" si="5"/>
        <v>-1.8228492071169833E-2</v>
      </c>
    </row>
    <row r="162" spans="1:14">
      <c r="A162" s="103" t="s">
        <v>1764</v>
      </c>
      <c r="B162" s="103">
        <v>91</v>
      </c>
      <c r="C162" s="103">
        <v>101.4</v>
      </c>
      <c r="D162" s="103">
        <v>91</v>
      </c>
      <c r="E162" s="103">
        <v>96.37</v>
      </c>
      <c r="F162" s="104">
        <v>5369333</v>
      </c>
      <c r="G162" s="112">
        <f t="shared" si="4"/>
        <v>5.9826239964807959E-2</v>
      </c>
      <c r="I162" s="105">
        <v>44788</v>
      </c>
      <c r="J162" s="85">
        <v>43050.87</v>
      </c>
      <c r="K162" s="85">
        <v>43659.040000000001</v>
      </c>
      <c r="L162" s="85">
        <v>43050.87</v>
      </c>
      <c r="M162" s="85">
        <v>43621.82</v>
      </c>
      <c r="N162" s="114">
        <f t="shared" si="5"/>
        <v>2.6520154795228068E-2</v>
      </c>
    </row>
    <row r="163" spans="1:14">
      <c r="A163" s="103" t="s">
        <v>1765</v>
      </c>
      <c r="B163" s="103">
        <v>89</v>
      </c>
      <c r="C163" s="103">
        <v>92.89</v>
      </c>
      <c r="D163" s="103">
        <v>86.4</v>
      </c>
      <c r="E163" s="103">
        <v>90.93</v>
      </c>
      <c r="F163" s="104">
        <v>2464290</v>
      </c>
      <c r="G163" s="112">
        <f t="shared" si="4"/>
        <v>2.5372124492557546E-2</v>
      </c>
      <c r="I163" s="105">
        <v>44783</v>
      </c>
      <c r="J163" s="85">
        <v>42313.279999999999</v>
      </c>
      <c r="K163" s="85">
        <v>42779.47</v>
      </c>
      <c r="L163" s="85">
        <v>42219.61</v>
      </c>
      <c r="M163" s="85">
        <v>42494.85</v>
      </c>
      <c r="N163" s="114">
        <f t="shared" si="5"/>
        <v>6.0357630858998812E-2</v>
      </c>
    </row>
    <row r="164" spans="1:14">
      <c r="A164" s="103" t="s">
        <v>1766</v>
      </c>
      <c r="B164" s="103">
        <v>88.95</v>
      </c>
      <c r="C164" s="103">
        <v>89.95</v>
      </c>
      <c r="D164" s="103">
        <v>83.36</v>
      </c>
      <c r="E164" s="103">
        <v>88.68</v>
      </c>
      <c r="F164" s="104">
        <v>5125370</v>
      </c>
      <c r="G164" s="112">
        <f t="shared" si="4"/>
        <v>2.8173913043478382E-2</v>
      </c>
      <c r="I164" s="105">
        <v>44774</v>
      </c>
      <c r="J164" s="85">
        <v>40122.79</v>
      </c>
      <c r="K164" s="85">
        <v>40380.639999999999</v>
      </c>
      <c r="L164" s="85">
        <v>40069.269999999997</v>
      </c>
      <c r="M164" s="85">
        <v>40075.96</v>
      </c>
      <c r="N164" s="114">
        <f t="shared" si="5"/>
        <v>5.821199768497376E-3</v>
      </c>
    </row>
    <row r="165" spans="1:14">
      <c r="A165" s="103" t="s">
        <v>1767</v>
      </c>
      <c r="B165" s="103">
        <v>85.45</v>
      </c>
      <c r="C165" s="103">
        <v>86.99</v>
      </c>
      <c r="D165" s="103">
        <v>81.099999999999994</v>
      </c>
      <c r="E165" s="103">
        <v>86.25</v>
      </c>
      <c r="F165" s="104">
        <v>4932359</v>
      </c>
      <c r="G165" s="112">
        <f t="shared" si="4"/>
        <v>1.9021739130434812E-2</v>
      </c>
      <c r="I165" s="105">
        <v>44767</v>
      </c>
      <c r="J165" s="85">
        <v>40074.080000000002</v>
      </c>
      <c r="K165" s="85">
        <v>40074.080000000002</v>
      </c>
      <c r="L165" s="85">
        <v>39720.800000000003</v>
      </c>
      <c r="M165" s="85">
        <v>39844.019999999997</v>
      </c>
      <c r="N165" s="114">
        <f t="shared" si="5"/>
        <v>-3.6818864068580148E-2</v>
      </c>
    </row>
    <row r="166" spans="1:14">
      <c r="A166" s="103" t="s">
        <v>1768</v>
      </c>
      <c r="B166" s="103">
        <v>90.27</v>
      </c>
      <c r="C166" s="103">
        <v>92.85</v>
      </c>
      <c r="D166" s="103">
        <v>83.9</v>
      </c>
      <c r="E166" s="103">
        <v>84.64</v>
      </c>
      <c r="F166" s="104">
        <v>1727085</v>
      </c>
      <c r="G166" s="112">
        <f t="shared" si="4"/>
        <v>-8.8520353219900927E-2</v>
      </c>
      <c r="I166" s="105">
        <v>44760</v>
      </c>
      <c r="J166" s="85">
        <v>41720.75</v>
      </c>
      <c r="K166" s="85">
        <v>41723.230000000003</v>
      </c>
      <c r="L166" s="85">
        <v>41274.620000000003</v>
      </c>
      <c r="M166" s="85">
        <v>41367.11</v>
      </c>
      <c r="N166" s="114">
        <f t="shared" si="5"/>
        <v>-1.1840114736793472E-2</v>
      </c>
    </row>
    <row r="167" spans="1:14">
      <c r="A167" s="103" t="s">
        <v>1769</v>
      </c>
      <c r="B167" s="103">
        <v>89.05</v>
      </c>
      <c r="C167" s="103">
        <v>94.98</v>
      </c>
      <c r="D167" s="103">
        <v>89.05</v>
      </c>
      <c r="E167" s="103">
        <v>92.86</v>
      </c>
      <c r="F167" s="104">
        <v>700402</v>
      </c>
      <c r="G167" s="112">
        <f t="shared" si="4"/>
        <v>1.13265083859726E-2</v>
      </c>
      <c r="I167" s="105">
        <v>44755</v>
      </c>
      <c r="J167" s="85">
        <v>41336.89</v>
      </c>
      <c r="K167" s="85">
        <v>41971.83</v>
      </c>
      <c r="L167" s="85">
        <v>41223.97</v>
      </c>
      <c r="M167" s="85">
        <v>41862.769999999997</v>
      </c>
      <c r="N167" s="114">
        <f t="shared" si="5"/>
        <v>1.2445042939001505E-2</v>
      </c>
    </row>
    <row r="168" spans="1:14">
      <c r="A168" s="103" t="s">
        <v>1770</v>
      </c>
      <c r="B168" s="103">
        <v>91.25</v>
      </c>
      <c r="C168" s="103">
        <v>92.59</v>
      </c>
      <c r="D168" s="103">
        <v>90</v>
      </c>
      <c r="E168" s="103">
        <v>91.82</v>
      </c>
      <c r="F168" s="104">
        <v>469164</v>
      </c>
      <c r="G168" s="112">
        <f t="shared" si="4"/>
        <v>7.4610489357032073E-3</v>
      </c>
      <c r="I168" s="105">
        <v>44746</v>
      </c>
      <c r="J168" s="85">
        <v>41656.65</v>
      </c>
      <c r="K168" s="85">
        <v>41685.81</v>
      </c>
      <c r="L168" s="85">
        <v>41319.11</v>
      </c>
      <c r="M168" s="85">
        <v>41348.19</v>
      </c>
      <c r="N168" s="114">
        <f t="shared" si="5"/>
        <v>-1.2664711330878764E-2</v>
      </c>
    </row>
    <row r="169" spans="1:14">
      <c r="A169" s="103" t="s">
        <v>1771</v>
      </c>
      <c r="B169" s="103">
        <v>93</v>
      </c>
      <c r="C169" s="103">
        <v>97.49</v>
      </c>
      <c r="D169" s="103">
        <v>88.3</v>
      </c>
      <c r="E169" s="103">
        <v>91.14</v>
      </c>
      <c r="F169" s="104">
        <v>8227944</v>
      </c>
      <c r="G169" s="112">
        <f t="shared" si="4"/>
        <v>-1.8628189942931028E-2</v>
      </c>
      <c r="I169" s="105">
        <v>44739</v>
      </c>
      <c r="J169" s="85">
        <v>41223.4</v>
      </c>
      <c r="K169" s="85">
        <v>41952.43</v>
      </c>
      <c r="L169" s="85">
        <v>41223.4</v>
      </c>
      <c r="M169" s="85">
        <v>41878.57</v>
      </c>
      <c r="N169" s="114">
        <f t="shared" si="5"/>
        <v>2.4317219674565571E-3</v>
      </c>
    </row>
    <row r="170" spans="1:14">
      <c r="A170" s="103" t="s">
        <v>1772</v>
      </c>
      <c r="B170" s="103">
        <v>96.48</v>
      </c>
      <c r="C170" s="103">
        <v>99.39</v>
      </c>
      <c r="D170" s="103">
        <v>90</v>
      </c>
      <c r="E170" s="103">
        <v>92.87</v>
      </c>
      <c r="F170" s="104">
        <v>10620634</v>
      </c>
      <c r="G170" s="112">
        <f t="shared" si="4"/>
        <v>-2.9875692050558844E-2</v>
      </c>
      <c r="I170" s="105">
        <v>44732</v>
      </c>
      <c r="J170" s="85">
        <v>42190.1</v>
      </c>
      <c r="K170" s="85">
        <v>42357.919999999998</v>
      </c>
      <c r="L170" s="85">
        <v>41735.53</v>
      </c>
      <c r="M170" s="85">
        <v>41776.980000000003</v>
      </c>
      <c r="N170" s="114">
        <f t="shared" si="5"/>
        <v>2.1943530725223814E-2</v>
      </c>
    </row>
    <row r="171" spans="1:14">
      <c r="A171" s="103" t="s">
        <v>1773</v>
      </c>
      <c r="B171" s="103">
        <v>95.99</v>
      </c>
      <c r="C171" s="103">
        <v>97</v>
      </c>
      <c r="D171" s="103">
        <v>89</v>
      </c>
      <c r="E171" s="103">
        <v>95.73</v>
      </c>
      <c r="F171" s="104">
        <v>3499356</v>
      </c>
      <c r="G171" s="112">
        <f t="shared" si="4"/>
        <v>5.2504462879345848E-3</v>
      </c>
      <c r="I171" s="105">
        <v>44725</v>
      </c>
      <c r="J171" s="85">
        <v>42045.57</v>
      </c>
      <c r="K171" s="85">
        <v>42069.65</v>
      </c>
      <c r="L171" s="85">
        <v>40833.5</v>
      </c>
      <c r="M171" s="85">
        <v>40879.93</v>
      </c>
      <c r="N171" s="114">
        <f t="shared" si="5"/>
        <v>-1.6770726078060516E-2</v>
      </c>
    </row>
    <row r="172" spans="1:14">
      <c r="A172" s="103" t="s">
        <v>1774</v>
      </c>
      <c r="B172" s="103">
        <v>96.1</v>
      </c>
      <c r="C172" s="103">
        <v>99.9</v>
      </c>
      <c r="D172" s="103">
        <v>95</v>
      </c>
      <c r="E172" s="103">
        <v>95.23</v>
      </c>
      <c r="F172" s="104">
        <v>1373004</v>
      </c>
      <c r="G172" s="112">
        <f t="shared" si="4"/>
        <v>-1.5405293631099992E-2</v>
      </c>
      <c r="I172" s="105">
        <v>44718</v>
      </c>
      <c r="J172" s="85">
        <v>41291.15</v>
      </c>
      <c r="K172" s="85">
        <v>41675.81</v>
      </c>
      <c r="L172" s="85">
        <v>41030.94</v>
      </c>
      <c r="M172" s="85">
        <v>41577.21</v>
      </c>
      <c r="N172" s="114">
        <f t="shared" si="5"/>
        <v>-3.3989898731742074E-2</v>
      </c>
    </row>
    <row r="173" spans="1:14">
      <c r="A173" s="103" t="s">
        <v>1775</v>
      </c>
      <c r="B173" s="103">
        <v>104</v>
      </c>
      <c r="C173" s="103">
        <v>105.38</v>
      </c>
      <c r="D173" s="103">
        <v>96</v>
      </c>
      <c r="E173" s="103">
        <v>96.72</v>
      </c>
      <c r="F173" s="104">
        <v>6600729</v>
      </c>
      <c r="G173" s="112">
        <f t="shared" si="4"/>
        <v>-6.7399479317327149E-2</v>
      </c>
      <c r="I173" s="105">
        <v>44711</v>
      </c>
      <c r="J173" s="85">
        <v>42956.57</v>
      </c>
      <c r="K173" s="85">
        <v>43259.14</v>
      </c>
      <c r="L173" s="85">
        <v>42902.42</v>
      </c>
      <c r="M173" s="85">
        <v>43040.14</v>
      </c>
      <c r="N173" s="114">
        <f t="shared" si="5"/>
        <v>1.4135169829388339E-2</v>
      </c>
    </row>
    <row r="174" spans="1:14">
      <c r="A174" s="103" t="s">
        <v>1776</v>
      </c>
      <c r="B174" s="103">
        <v>102.1</v>
      </c>
      <c r="C174" s="103">
        <v>106.44</v>
      </c>
      <c r="D174" s="103">
        <v>100.2</v>
      </c>
      <c r="E174" s="103">
        <v>103.71</v>
      </c>
      <c r="F174" s="104">
        <v>4475160</v>
      </c>
      <c r="G174" s="112">
        <f t="shared" si="4"/>
        <v>1.586835145459875E-2</v>
      </c>
      <c r="I174" s="105">
        <v>44704</v>
      </c>
      <c r="J174" s="85">
        <v>42930.39</v>
      </c>
      <c r="K174" s="85">
        <v>42930.39</v>
      </c>
      <c r="L174" s="85">
        <v>42341.64</v>
      </c>
      <c r="M174" s="85">
        <v>42440.24</v>
      </c>
      <c r="N174" s="114">
        <f t="shared" si="5"/>
        <v>-5.3221060052518476E-3</v>
      </c>
    </row>
    <row r="175" spans="1:14">
      <c r="A175" s="103" t="s">
        <v>1777</v>
      </c>
      <c r="B175" s="103">
        <v>102.5</v>
      </c>
      <c r="C175" s="103">
        <v>103.2</v>
      </c>
      <c r="D175" s="103">
        <v>99.75</v>
      </c>
      <c r="E175" s="103">
        <v>102.09</v>
      </c>
      <c r="F175" s="104">
        <v>13954713</v>
      </c>
      <c r="G175" s="112">
        <f t="shared" si="4"/>
        <v>-6.6167169407413962E-3</v>
      </c>
      <c r="I175" s="105">
        <v>44697</v>
      </c>
      <c r="J175" s="85">
        <v>43302</v>
      </c>
      <c r="K175" s="85">
        <v>43302</v>
      </c>
      <c r="L175" s="85">
        <v>42373.14</v>
      </c>
      <c r="M175" s="85">
        <v>42667.32</v>
      </c>
      <c r="N175" s="114">
        <f t="shared" si="5"/>
        <v>-1.6726607016685158E-2</v>
      </c>
    </row>
    <row r="176" spans="1:14">
      <c r="A176" s="103" t="s">
        <v>1778</v>
      </c>
      <c r="B176" s="103">
        <v>108</v>
      </c>
      <c r="C176" s="103">
        <v>108</v>
      </c>
      <c r="D176" s="103">
        <v>100.5</v>
      </c>
      <c r="E176" s="103">
        <v>102.77</v>
      </c>
      <c r="F176" s="104">
        <v>3943856</v>
      </c>
      <c r="G176" s="112">
        <f t="shared" si="4"/>
        <v>-3.9801924694011115E-2</v>
      </c>
      <c r="I176" s="105">
        <v>44690</v>
      </c>
      <c r="J176" s="85">
        <v>44838.89</v>
      </c>
      <c r="K176" s="85">
        <v>44838.89</v>
      </c>
      <c r="L176" s="85">
        <v>43233.21</v>
      </c>
      <c r="M176" s="85">
        <v>43393.14</v>
      </c>
      <c r="N176" s="114">
        <f t="shared" si="5"/>
        <v>-5.8170630463446837E-2</v>
      </c>
    </row>
    <row r="177" spans="1:14">
      <c r="A177" s="103" t="s">
        <v>1779</v>
      </c>
      <c r="B177" s="103">
        <v>111.52</v>
      </c>
      <c r="C177" s="103">
        <v>113.49</v>
      </c>
      <c r="D177" s="103">
        <v>106.16</v>
      </c>
      <c r="E177" s="103">
        <v>107.03</v>
      </c>
      <c r="F177" s="104">
        <v>3935429</v>
      </c>
      <c r="G177" s="112">
        <f t="shared" si="4"/>
        <v>-3.8451172401401501E-2</v>
      </c>
      <c r="I177" s="105">
        <v>44676</v>
      </c>
      <c r="J177" s="85">
        <v>45812.38</v>
      </c>
      <c r="K177" s="85">
        <v>46203.59</v>
      </c>
      <c r="L177" s="85">
        <v>45812.38</v>
      </c>
      <c r="M177" s="85">
        <v>46073.25</v>
      </c>
      <c r="N177" s="114">
        <f t="shared" si="5"/>
        <v>-1.0020285954388419E-2</v>
      </c>
    </row>
    <row r="178" spans="1:14">
      <c r="A178" s="103" t="s">
        <v>1780</v>
      </c>
      <c r="B178" s="103">
        <v>116.89</v>
      </c>
      <c r="C178" s="103">
        <v>116.89</v>
      </c>
      <c r="D178" s="103">
        <v>110</v>
      </c>
      <c r="E178" s="103">
        <v>111.31</v>
      </c>
      <c r="F178" s="104">
        <v>4064031</v>
      </c>
      <c r="G178" s="112">
        <f t="shared" si="4"/>
        <v>-4.2494623655913943E-2</v>
      </c>
      <c r="I178" s="105">
        <v>44669</v>
      </c>
      <c r="J178" s="85">
        <v>46553.85</v>
      </c>
      <c r="K178" s="85">
        <v>46970.04</v>
      </c>
      <c r="L178" s="85">
        <v>46418.76</v>
      </c>
      <c r="M178" s="85">
        <v>46539.59</v>
      </c>
      <c r="N178" s="114">
        <f t="shared" si="5"/>
        <v>8.5519632046489047E-3</v>
      </c>
    </row>
    <row r="179" spans="1:14">
      <c r="A179" s="103" t="s">
        <v>1781</v>
      </c>
      <c r="B179" s="103">
        <v>113.8</v>
      </c>
      <c r="C179" s="103">
        <v>119</v>
      </c>
      <c r="D179" s="103">
        <v>112.1</v>
      </c>
      <c r="E179" s="103">
        <v>116.25</v>
      </c>
      <c r="F179" s="104">
        <v>4841855</v>
      </c>
      <c r="G179" s="112">
        <f t="shared" si="4"/>
        <v>4.2227003765465287E-2</v>
      </c>
      <c r="I179" s="105">
        <v>44662</v>
      </c>
      <c r="J179" s="85">
        <v>45421.52</v>
      </c>
      <c r="K179" s="85">
        <v>46215.54</v>
      </c>
      <c r="L179" s="85">
        <v>45421.52</v>
      </c>
      <c r="M179" s="85">
        <v>46144.959999999999</v>
      </c>
      <c r="N179" s="114">
        <f t="shared" si="5"/>
        <v>5.1089197677374409E-2</v>
      </c>
    </row>
    <row r="180" spans="1:14">
      <c r="A180" s="103" t="s">
        <v>1782</v>
      </c>
      <c r="B180" s="103">
        <v>112.01</v>
      </c>
      <c r="C180" s="103">
        <v>113</v>
      </c>
      <c r="D180" s="103">
        <v>108.9</v>
      </c>
      <c r="E180" s="103">
        <v>111.54</v>
      </c>
      <c r="F180" s="104">
        <v>3406036</v>
      </c>
      <c r="G180" s="112">
        <f t="shared" si="4"/>
        <v>-2.0805899394258587E-2</v>
      </c>
      <c r="I180" s="105">
        <v>44655</v>
      </c>
      <c r="J180" s="85">
        <v>44389.38</v>
      </c>
      <c r="K180" s="85">
        <v>44433.23</v>
      </c>
      <c r="L180" s="85">
        <v>43824.08</v>
      </c>
      <c r="M180" s="85">
        <v>43902.04</v>
      </c>
      <c r="N180" s="114">
        <f t="shared" si="5"/>
        <v>-7.1744698130538076E-4</v>
      </c>
    </row>
    <row r="181" spans="1:14">
      <c r="A181" s="103" t="s">
        <v>1783</v>
      </c>
      <c r="B181" s="103">
        <v>113.69</v>
      </c>
      <c r="C181" s="103">
        <v>115</v>
      </c>
      <c r="D181" s="103">
        <v>111</v>
      </c>
      <c r="E181" s="103">
        <v>113.91</v>
      </c>
      <c r="F181" s="104">
        <v>3766276</v>
      </c>
      <c r="G181" s="112">
        <f t="shared" si="4"/>
        <v>3.5239185974802467E-3</v>
      </c>
      <c r="I181" s="105">
        <v>44648</v>
      </c>
      <c r="J181" s="85">
        <v>43570.53</v>
      </c>
      <c r="K181" s="85">
        <v>43933.56</v>
      </c>
      <c r="L181" s="85">
        <v>43291.01</v>
      </c>
      <c r="M181" s="85">
        <v>43933.56</v>
      </c>
      <c r="N181" s="114">
        <f t="shared" si="5"/>
        <v>1.6269637304644702E-2</v>
      </c>
    </row>
    <row r="182" spans="1:14">
      <c r="A182" s="103" t="s">
        <v>1784</v>
      </c>
      <c r="B182" s="103">
        <v>109.5</v>
      </c>
      <c r="C182" s="103">
        <v>114</v>
      </c>
      <c r="D182" s="103">
        <v>108.39</v>
      </c>
      <c r="E182" s="103">
        <v>113.51</v>
      </c>
      <c r="F182" s="104">
        <v>2928985</v>
      </c>
      <c r="G182" s="112">
        <f t="shared" si="4"/>
        <v>2.5939985538684152E-2</v>
      </c>
      <c r="I182" s="105">
        <v>44641</v>
      </c>
      <c r="J182" s="85">
        <v>43122.18</v>
      </c>
      <c r="K182" s="85">
        <v>43388.18</v>
      </c>
      <c r="L182" s="85">
        <v>43122.18</v>
      </c>
      <c r="M182" s="85">
        <v>43230.22</v>
      </c>
      <c r="N182" s="114">
        <f t="shared" si="5"/>
        <v>-3.1514826172686083E-3</v>
      </c>
    </row>
    <row r="183" spans="1:14">
      <c r="A183" s="103" t="s">
        <v>1785</v>
      </c>
      <c r="B183" s="103">
        <v>114</v>
      </c>
      <c r="C183" s="103">
        <v>115.9</v>
      </c>
      <c r="D183" s="103">
        <v>110</v>
      </c>
      <c r="E183" s="103">
        <v>110.64</v>
      </c>
      <c r="F183" s="104">
        <v>3089800</v>
      </c>
      <c r="G183" s="112">
        <f t="shared" si="4"/>
        <v>-3.0579164111101287E-2</v>
      </c>
      <c r="I183" s="105">
        <v>44634</v>
      </c>
      <c r="J183" s="85">
        <v>43698.44</v>
      </c>
      <c r="K183" s="85">
        <v>43767.77</v>
      </c>
      <c r="L183" s="85">
        <v>43324.83</v>
      </c>
      <c r="M183" s="85">
        <v>43366.89</v>
      </c>
      <c r="N183" s="114">
        <f t="shared" si="5"/>
        <v>2.3093828849118925E-3</v>
      </c>
    </row>
    <row r="184" spans="1:14">
      <c r="A184" s="103" t="s">
        <v>1786</v>
      </c>
      <c r="B184" s="103">
        <v>115.1</v>
      </c>
      <c r="C184" s="103">
        <v>116</v>
      </c>
      <c r="D184" s="103">
        <v>111</v>
      </c>
      <c r="E184" s="103">
        <v>114.13</v>
      </c>
      <c r="F184" s="104">
        <v>3561256</v>
      </c>
      <c r="G184" s="112">
        <f t="shared" si="4"/>
        <v>-1.8405435623978672E-2</v>
      </c>
      <c r="I184" s="105">
        <v>44627</v>
      </c>
      <c r="J184" s="85">
        <v>44331.13</v>
      </c>
      <c r="K184" s="85">
        <v>44331.13</v>
      </c>
      <c r="L184" s="85">
        <v>43049.41</v>
      </c>
      <c r="M184" s="85">
        <v>43266.97</v>
      </c>
      <c r="N184" s="114">
        <f t="shared" si="5"/>
        <v>-2.6855890138348215E-2</v>
      </c>
    </row>
    <row r="185" spans="1:14">
      <c r="A185" s="103" t="s">
        <v>1787</v>
      </c>
      <c r="B185" s="103">
        <v>117.41</v>
      </c>
      <c r="C185" s="103">
        <v>118.1</v>
      </c>
      <c r="D185" s="103">
        <v>114.8</v>
      </c>
      <c r="E185" s="103">
        <v>116.27</v>
      </c>
      <c r="F185" s="104">
        <v>3690871</v>
      </c>
      <c r="G185" s="112">
        <f t="shared" si="4"/>
        <v>-4.2984869325990438E-4</v>
      </c>
      <c r="I185" s="105">
        <v>44620</v>
      </c>
      <c r="J185" s="85">
        <v>44004.22</v>
      </c>
      <c r="K185" s="85">
        <v>44557.1</v>
      </c>
      <c r="L185" s="85">
        <v>43639.17</v>
      </c>
      <c r="M185" s="85">
        <v>44461.01</v>
      </c>
      <c r="N185" s="114">
        <f t="shared" si="5"/>
        <v>-1.9880585104330883E-2</v>
      </c>
    </row>
    <row r="186" spans="1:14">
      <c r="A186" s="103" t="s">
        <v>1788</v>
      </c>
      <c r="B186" s="103">
        <v>122.4</v>
      </c>
      <c r="C186" s="103">
        <v>122.6</v>
      </c>
      <c r="D186" s="103">
        <v>115.9</v>
      </c>
      <c r="E186" s="103">
        <v>116.32</v>
      </c>
      <c r="F186" s="104">
        <v>5325078</v>
      </c>
      <c r="G186" s="112">
        <f t="shared" si="4"/>
        <v>-4.6010005740999005E-2</v>
      </c>
      <c r="I186" s="105">
        <v>44613</v>
      </c>
      <c r="J186" s="85">
        <v>45682.37</v>
      </c>
      <c r="K186" s="85">
        <v>45743.6</v>
      </c>
      <c r="L186" s="85">
        <v>45342.06</v>
      </c>
      <c r="M186" s="85">
        <v>45362.85</v>
      </c>
      <c r="N186" s="114">
        <f t="shared" si="5"/>
        <v>-6.1615863083259725E-3</v>
      </c>
    </row>
    <row r="187" spans="1:14">
      <c r="A187" s="103" t="s">
        <v>1789</v>
      </c>
      <c r="B187" s="103">
        <v>123.23</v>
      </c>
      <c r="C187" s="103">
        <v>124.5</v>
      </c>
      <c r="D187" s="103">
        <v>120.5</v>
      </c>
      <c r="E187" s="103">
        <v>121.93</v>
      </c>
      <c r="F187" s="104">
        <v>2752026</v>
      </c>
      <c r="G187" s="112">
        <f t="shared" si="4"/>
        <v>-1.0549379209608079E-2</v>
      </c>
      <c r="I187" s="105">
        <v>44606</v>
      </c>
      <c r="J187" s="85">
        <v>46062.52</v>
      </c>
      <c r="K187" s="85">
        <v>46133.87</v>
      </c>
      <c r="L187" s="85">
        <v>45507.45</v>
      </c>
      <c r="M187" s="85">
        <v>45644.09</v>
      </c>
      <c r="N187" s="114">
        <f t="shared" si="5"/>
        <v>-4.3009298393914541E-3</v>
      </c>
    </row>
    <row r="188" spans="1:14">
      <c r="A188" s="103" t="s">
        <v>1790</v>
      </c>
      <c r="B188" s="103">
        <v>124.44</v>
      </c>
      <c r="C188" s="103">
        <v>125</v>
      </c>
      <c r="D188" s="103">
        <v>121.56</v>
      </c>
      <c r="E188" s="103">
        <v>123.23</v>
      </c>
      <c r="F188" s="104">
        <v>5812924</v>
      </c>
      <c r="G188" s="112">
        <f t="shared" si="4"/>
        <v>-5.3273064815562154E-3</v>
      </c>
      <c r="I188" s="105">
        <v>44599</v>
      </c>
      <c r="J188" s="85">
        <v>45958.75</v>
      </c>
      <c r="K188" s="85">
        <v>46139.82</v>
      </c>
      <c r="L188" s="85">
        <v>45799.67</v>
      </c>
      <c r="M188" s="85">
        <v>45841.25</v>
      </c>
      <c r="N188" s="114">
        <f t="shared" si="5"/>
        <v>1.0282606951718343E-2</v>
      </c>
    </row>
    <row r="189" spans="1:14">
      <c r="A189" s="103" t="s">
        <v>1791</v>
      </c>
      <c r="B189" s="103">
        <v>120.2</v>
      </c>
      <c r="C189" s="103">
        <v>128</v>
      </c>
      <c r="D189" s="103">
        <v>120.2</v>
      </c>
      <c r="E189" s="103">
        <v>123.89</v>
      </c>
      <c r="F189" s="104">
        <v>8011347</v>
      </c>
      <c r="G189" s="112">
        <f t="shared" si="4"/>
        <v>2.7791604446656626E-2</v>
      </c>
      <c r="I189" s="105">
        <v>44592</v>
      </c>
      <c r="J189" s="85">
        <v>45139.09</v>
      </c>
      <c r="K189" s="85">
        <v>45462.62</v>
      </c>
      <c r="L189" s="85">
        <v>45139.09</v>
      </c>
      <c r="M189" s="85">
        <v>45374.68</v>
      </c>
      <c r="N189" s="114">
        <f t="shared" si="5"/>
        <v>1.0034077621471349E-2</v>
      </c>
    </row>
    <row r="190" spans="1:14">
      <c r="A190" s="103" t="s">
        <v>1792</v>
      </c>
      <c r="B190" s="103">
        <v>122.25</v>
      </c>
      <c r="C190" s="103">
        <v>122.45</v>
      </c>
      <c r="D190" s="103">
        <v>120.1</v>
      </c>
      <c r="E190" s="103">
        <v>120.54</v>
      </c>
      <c r="F190" s="104">
        <v>1664889</v>
      </c>
      <c r="G190" s="112">
        <f t="shared" si="4"/>
        <v>-1.3018914271677673E-2</v>
      </c>
      <c r="I190" s="105">
        <v>44585</v>
      </c>
      <c r="J190" s="85">
        <v>45008.77</v>
      </c>
      <c r="K190" s="85">
        <v>45045.06</v>
      </c>
      <c r="L190" s="85">
        <v>44796.84</v>
      </c>
      <c r="M190" s="85">
        <v>44923.91</v>
      </c>
      <c r="N190" s="114">
        <f t="shared" si="5"/>
        <v>-1.5090041699369783E-2</v>
      </c>
    </row>
    <row r="191" spans="1:14">
      <c r="A191" s="103" t="s">
        <v>1793</v>
      </c>
      <c r="B191" s="103">
        <v>123.01</v>
      </c>
      <c r="C191" s="103">
        <v>123.1</v>
      </c>
      <c r="D191" s="103">
        <v>119.7</v>
      </c>
      <c r="E191" s="103">
        <v>122.13</v>
      </c>
      <c r="F191" s="104">
        <v>2141148</v>
      </c>
      <c r="G191" s="112">
        <f t="shared" si="4"/>
        <v>-8.1214976041582565E-3</v>
      </c>
      <c r="I191" s="105">
        <v>44578</v>
      </c>
      <c r="J191" s="85">
        <v>45739.9</v>
      </c>
      <c r="K191" s="85">
        <v>45787.48</v>
      </c>
      <c r="L191" s="85">
        <v>45385.97</v>
      </c>
      <c r="M191" s="85">
        <v>45612.2</v>
      </c>
      <c r="N191" s="114">
        <f t="shared" si="5"/>
        <v>-6.002271200321263E-3</v>
      </c>
    </row>
    <row r="192" spans="1:14">
      <c r="A192" s="103" t="s">
        <v>1794</v>
      </c>
      <c r="B192" s="103">
        <v>119</v>
      </c>
      <c r="C192" s="103">
        <v>124</v>
      </c>
      <c r="D192" s="103">
        <v>118.03</v>
      </c>
      <c r="E192" s="103">
        <v>123.13</v>
      </c>
      <c r="F192" s="104">
        <v>6585732</v>
      </c>
      <c r="G192" s="112">
        <f t="shared" si="4"/>
        <v>4.100439634764963E-2</v>
      </c>
      <c r="I192" s="105">
        <v>44571</v>
      </c>
      <c r="J192" s="85">
        <v>45341.32</v>
      </c>
      <c r="K192" s="85">
        <v>45969.63</v>
      </c>
      <c r="L192" s="85">
        <v>45205.18</v>
      </c>
      <c r="M192" s="85">
        <v>45887.63</v>
      </c>
      <c r="N192" s="114">
        <f t="shared" si="5"/>
        <v>2.2294705647907476E-2</v>
      </c>
    </row>
    <row r="193" spans="1:14">
      <c r="A193" s="103" t="s">
        <v>1795</v>
      </c>
      <c r="B193" s="103">
        <v>117</v>
      </c>
      <c r="C193" s="103">
        <v>119.5</v>
      </c>
      <c r="D193" s="103">
        <v>116.5</v>
      </c>
      <c r="E193" s="103">
        <v>118.28</v>
      </c>
      <c r="F193" s="104">
        <v>4209986</v>
      </c>
      <c r="G193" s="112">
        <f t="shared" si="4"/>
        <v>1.4234265134625224E-2</v>
      </c>
      <c r="I193" s="105">
        <v>44564</v>
      </c>
      <c r="J193" s="85">
        <v>44593.11</v>
      </c>
      <c r="K193" s="85">
        <v>44906.98</v>
      </c>
      <c r="L193" s="85">
        <v>44509.56</v>
      </c>
      <c r="M193" s="85">
        <v>44886.89</v>
      </c>
      <c r="N193" s="114">
        <f t="shared" si="5"/>
        <v>2.2167473101629032E-2</v>
      </c>
    </row>
    <row r="194" spans="1:14">
      <c r="A194" s="103" t="s">
        <v>1796</v>
      </c>
      <c r="B194" s="103">
        <v>117.91</v>
      </c>
      <c r="C194" s="103">
        <v>117.91</v>
      </c>
      <c r="D194" s="103">
        <v>114.3</v>
      </c>
      <c r="E194" s="103">
        <v>116.62</v>
      </c>
      <c r="F194" s="104">
        <v>7841323</v>
      </c>
      <c r="G194" s="112">
        <f t="shared" si="4"/>
        <v>-1.5410958904108485E-3</v>
      </c>
      <c r="I194" s="105">
        <v>44557</v>
      </c>
      <c r="J194" s="85">
        <v>44131.22</v>
      </c>
      <c r="K194" s="85">
        <v>44171.96</v>
      </c>
      <c r="L194" s="85">
        <v>43846.01</v>
      </c>
      <c r="M194" s="85">
        <v>43913.440000000002</v>
      </c>
      <c r="N194" s="114">
        <f t="shared" si="5"/>
        <v>-9.6190906845856627E-3</v>
      </c>
    </row>
    <row r="195" spans="1:14">
      <c r="A195" s="103" t="s">
        <v>1797</v>
      </c>
      <c r="B195" s="103">
        <v>118.95</v>
      </c>
      <c r="C195" s="103">
        <v>120.1</v>
      </c>
      <c r="D195" s="103">
        <v>116.51</v>
      </c>
      <c r="E195" s="103">
        <v>116.8</v>
      </c>
      <c r="F195" s="104">
        <v>3984237</v>
      </c>
      <c r="G195" s="112">
        <f t="shared" si="4"/>
        <v>-1.0504913588614051E-2</v>
      </c>
      <c r="I195" s="105">
        <v>44550</v>
      </c>
      <c r="J195" s="85">
        <v>43926.85</v>
      </c>
      <c r="K195" s="85">
        <v>44484.76</v>
      </c>
      <c r="L195" s="85">
        <v>43808.84</v>
      </c>
      <c r="M195" s="85">
        <v>44339.95</v>
      </c>
      <c r="N195" s="114">
        <f t="shared" si="5"/>
        <v>3.413488595233205E-2</v>
      </c>
    </row>
    <row r="196" spans="1:14">
      <c r="A196" s="103" t="s">
        <v>1798</v>
      </c>
      <c r="B196" s="103">
        <v>120.43</v>
      </c>
      <c r="C196" s="103">
        <v>120.75</v>
      </c>
      <c r="D196" s="103">
        <v>114.5</v>
      </c>
      <c r="E196" s="103">
        <v>118.04</v>
      </c>
      <c r="F196" s="104">
        <v>8620497</v>
      </c>
      <c r="G196" s="112">
        <f t="shared" ref="G196:G258" si="6">E196/E197-1</f>
        <v>-1.2878407760494981E-2</v>
      </c>
      <c r="I196" s="105">
        <v>44543</v>
      </c>
      <c r="J196" s="85">
        <v>43427.61</v>
      </c>
      <c r="K196" s="85">
        <v>43478.62</v>
      </c>
      <c r="L196" s="85">
        <v>42803.83</v>
      </c>
      <c r="M196" s="85">
        <v>42876.37</v>
      </c>
      <c r="N196" s="114">
        <f t="shared" ref="N196:N258" si="7">M196/M197-1</f>
        <v>-9.3436415294828601E-3</v>
      </c>
    </row>
    <row r="197" spans="1:14">
      <c r="A197" s="103" t="s">
        <v>1799</v>
      </c>
      <c r="B197" s="103">
        <v>123.9</v>
      </c>
      <c r="C197" s="103">
        <v>124</v>
      </c>
      <c r="D197" s="103">
        <v>118.91</v>
      </c>
      <c r="E197" s="103">
        <v>119.58</v>
      </c>
      <c r="F197" s="104">
        <v>7512672</v>
      </c>
      <c r="G197" s="112">
        <f t="shared" si="6"/>
        <v>-2.93831168831169E-2</v>
      </c>
      <c r="I197" s="105">
        <v>44536</v>
      </c>
      <c r="J197" s="85">
        <v>43382.22</v>
      </c>
      <c r="K197" s="85">
        <v>43556.27</v>
      </c>
      <c r="L197" s="85">
        <v>42972.02</v>
      </c>
      <c r="M197" s="85">
        <v>43280.77</v>
      </c>
      <c r="N197" s="114">
        <f t="shared" si="7"/>
        <v>-4.5207980136796833E-2</v>
      </c>
    </row>
    <row r="198" spans="1:14">
      <c r="A198" s="103" t="s">
        <v>1800</v>
      </c>
      <c r="B198" s="103">
        <v>118.1</v>
      </c>
      <c r="C198" s="103">
        <v>127.75</v>
      </c>
      <c r="D198" s="103">
        <v>117.15</v>
      </c>
      <c r="E198" s="103">
        <v>123.2</v>
      </c>
      <c r="F198" s="104">
        <v>45699212</v>
      </c>
      <c r="G198" s="112">
        <f t="shared" si="6"/>
        <v>3.1566608054927503E-2</v>
      </c>
      <c r="I198" s="105">
        <v>44529</v>
      </c>
      <c r="J198" s="85">
        <v>44027.519999999997</v>
      </c>
      <c r="K198" s="85">
        <v>45416.99</v>
      </c>
      <c r="L198" s="85">
        <v>43933.5</v>
      </c>
      <c r="M198" s="85">
        <v>45330.05</v>
      </c>
      <c r="N198" s="114">
        <f t="shared" si="7"/>
        <v>-9.0709367143949615E-3</v>
      </c>
    </row>
    <row r="199" spans="1:14">
      <c r="A199" s="103" t="s">
        <v>1801</v>
      </c>
      <c r="B199" s="103">
        <v>128</v>
      </c>
      <c r="C199" s="103">
        <v>129.1</v>
      </c>
      <c r="D199" s="103">
        <v>116</v>
      </c>
      <c r="E199" s="103">
        <v>119.43</v>
      </c>
      <c r="F199" s="104">
        <v>18566763</v>
      </c>
      <c r="G199" s="112">
        <f t="shared" si="6"/>
        <v>-5.1088511044017126E-2</v>
      </c>
      <c r="I199" s="105">
        <v>44522</v>
      </c>
      <c r="J199" s="85">
        <v>46528.03</v>
      </c>
      <c r="K199" s="85">
        <v>46602.59</v>
      </c>
      <c r="L199" s="85">
        <v>45716.6</v>
      </c>
      <c r="M199" s="85">
        <v>45745</v>
      </c>
      <c r="N199" s="114">
        <f t="shared" si="7"/>
        <v>1.9109564271313495E-4</v>
      </c>
    </row>
    <row r="200" spans="1:14">
      <c r="A200" s="103" t="s">
        <v>1802</v>
      </c>
      <c r="B200" s="103">
        <v>122.15</v>
      </c>
      <c r="C200" s="103">
        <v>127.75</v>
      </c>
      <c r="D200" s="103">
        <v>122.15</v>
      </c>
      <c r="E200" s="103">
        <v>125.86</v>
      </c>
      <c r="F200" s="104">
        <v>9915319</v>
      </c>
      <c r="G200" s="112">
        <f t="shared" si="6"/>
        <v>1.9852524106636515E-2</v>
      </c>
      <c r="I200" s="105">
        <v>44515</v>
      </c>
      <c r="J200" s="85">
        <v>45670.91</v>
      </c>
      <c r="K200" s="85">
        <v>45910.96</v>
      </c>
      <c r="L200" s="85">
        <v>45544.99</v>
      </c>
      <c r="M200" s="85">
        <v>45736.26</v>
      </c>
      <c r="N200" s="114">
        <f t="shared" si="7"/>
        <v>-2.9264116086922587E-2</v>
      </c>
    </row>
    <row r="201" spans="1:14">
      <c r="A201" s="103" t="s">
        <v>1803</v>
      </c>
      <c r="B201" s="103">
        <v>125.6</v>
      </c>
      <c r="C201" s="103">
        <v>127.4</v>
      </c>
      <c r="D201" s="103">
        <v>123</v>
      </c>
      <c r="E201" s="103">
        <v>123.41</v>
      </c>
      <c r="F201" s="104">
        <v>4826703</v>
      </c>
      <c r="G201" s="112">
        <f t="shared" si="6"/>
        <v>-1.7045001991238595E-2</v>
      </c>
      <c r="I201" s="105">
        <v>44508</v>
      </c>
      <c r="J201" s="85">
        <v>47301.29</v>
      </c>
      <c r="K201" s="85">
        <v>47443.28</v>
      </c>
      <c r="L201" s="85">
        <v>47019.74</v>
      </c>
      <c r="M201" s="85">
        <v>47115.040000000001</v>
      </c>
      <c r="N201" s="114">
        <f t="shared" si="7"/>
        <v>2.985857517587176E-3</v>
      </c>
    </row>
    <row r="202" spans="1:14">
      <c r="A202" s="103" t="s">
        <v>1804</v>
      </c>
      <c r="B202" s="103">
        <v>126.95</v>
      </c>
      <c r="C202" s="103">
        <v>128.99</v>
      </c>
      <c r="D202" s="103">
        <v>123.51</v>
      </c>
      <c r="E202" s="103">
        <v>125.55</v>
      </c>
      <c r="F202" s="104">
        <v>6660506</v>
      </c>
      <c r="G202" s="112">
        <f t="shared" si="6"/>
        <v>-3.6505039282597185E-3</v>
      </c>
      <c r="I202" s="105">
        <v>44501</v>
      </c>
      <c r="J202" s="85">
        <v>46551.91</v>
      </c>
      <c r="K202" s="85">
        <v>47257.13</v>
      </c>
      <c r="L202" s="85">
        <v>46551.91</v>
      </c>
      <c r="M202" s="85">
        <v>46974.78</v>
      </c>
      <c r="N202" s="114">
        <f t="shared" si="7"/>
        <v>3.4021502905289269E-2</v>
      </c>
    </row>
    <row r="203" spans="1:14">
      <c r="A203" s="103" t="s">
        <v>1805</v>
      </c>
      <c r="B203" s="103">
        <v>128.01</v>
      </c>
      <c r="C203" s="103">
        <v>129.69999999999999</v>
      </c>
      <c r="D203" s="103">
        <v>87.05</v>
      </c>
      <c r="E203" s="103">
        <v>126.01</v>
      </c>
      <c r="F203" s="104">
        <v>1265378</v>
      </c>
      <c r="G203" s="112">
        <f t="shared" si="6"/>
        <v>-2.8450269853507959E-2</v>
      </c>
      <c r="I203" s="105">
        <v>44494</v>
      </c>
      <c r="J203" s="85">
        <v>45608.03</v>
      </c>
      <c r="K203" s="85">
        <v>45655.25</v>
      </c>
      <c r="L203" s="85">
        <v>45308.06</v>
      </c>
      <c r="M203" s="85">
        <v>45429.21</v>
      </c>
      <c r="N203" s="114">
        <f t="shared" si="7"/>
        <v>1.7920005736122624E-2</v>
      </c>
    </row>
    <row r="204" spans="1:14">
      <c r="A204" s="103" t="s">
        <v>1806</v>
      </c>
      <c r="B204" s="103">
        <v>119.74</v>
      </c>
      <c r="C204" s="103">
        <v>131.9</v>
      </c>
      <c r="D204" s="103">
        <v>117.05</v>
      </c>
      <c r="E204" s="103">
        <v>129.69999999999999</v>
      </c>
      <c r="F204" s="104">
        <v>12311660</v>
      </c>
      <c r="G204" s="112">
        <f t="shared" si="6"/>
        <v>8.9641266907502182E-2</v>
      </c>
      <c r="I204" s="105">
        <v>44487</v>
      </c>
      <c r="J204" s="85">
        <v>44655.519999999997</v>
      </c>
      <c r="K204" s="85">
        <v>44993.66</v>
      </c>
      <c r="L204" s="85">
        <v>44442.28</v>
      </c>
      <c r="M204" s="85">
        <v>44629.45</v>
      </c>
      <c r="N204" s="114">
        <f t="shared" si="7"/>
        <v>1.8254890843692584E-2</v>
      </c>
    </row>
    <row r="205" spans="1:14">
      <c r="A205" s="103" t="s">
        <v>1807</v>
      </c>
      <c r="B205" s="103">
        <v>109.53</v>
      </c>
      <c r="C205" s="103">
        <v>120</v>
      </c>
      <c r="D205" s="103">
        <v>108.98</v>
      </c>
      <c r="E205" s="103">
        <v>119.03</v>
      </c>
      <c r="F205" s="104">
        <v>14404166</v>
      </c>
      <c r="G205" s="112">
        <f t="shared" si="6"/>
        <v>7.9539270814438456E-2</v>
      </c>
      <c r="I205" s="105">
        <v>44480</v>
      </c>
      <c r="J205" s="85">
        <v>44525.85</v>
      </c>
      <c r="K205" s="85">
        <v>44544.1</v>
      </c>
      <c r="L205" s="85">
        <v>43718.37</v>
      </c>
      <c r="M205" s="85">
        <v>43829.35</v>
      </c>
      <c r="N205" s="114">
        <f t="shared" si="7"/>
        <v>-2.6976656417542655E-2</v>
      </c>
    </row>
    <row r="206" spans="1:14">
      <c r="A206" s="103" t="s">
        <v>1808</v>
      </c>
      <c r="B206" s="103">
        <v>110.09</v>
      </c>
      <c r="C206" s="103">
        <v>111</v>
      </c>
      <c r="D206" s="103">
        <v>107.6</v>
      </c>
      <c r="E206" s="103">
        <v>110.26</v>
      </c>
      <c r="F206" s="104">
        <v>14654825</v>
      </c>
      <c r="G206" s="112">
        <f t="shared" si="6"/>
        <v>1.5441911163593947E-3</v>
      </c>
      <c r="I206" s="105">
        <v>44473</v>
      </c>
      <c r="J206" s="85">
        <v>44705.31</v>
      </c>
      <c r="K206" s="85">
        <v>45105.04</v>
      </c>
      <c r="L206" s="85">
        <v>44552.7</v>
      </c>
      <c r="M206" s="85">
        <v>45044.5</v>
      </c>
      <c r="N206" s="114">
        <f t="shared" si="7"/>
        <v>5.0591551206484731E-3</v>
      </c>
    </row>
    <row r="207" spans="1:14">
      <c r="A207" s="103" t="s">
        <v>1809</v>
      </c>
      <c r="B207" s="103">
        <v>115</v>
      </c>
      <c r="C207" s="103">
        <v>115</v>
      </c>
      <c r="D207" s="103">
        <v>108.05</v>
      </c>
      <c r="E207" s="103">
        <v>110.09</v>
      </c>
      <c r="F207" s="104">
        <v>23748320</v>
      </c>
      <c r="G207" s="112">
        <f t="shared" si="6"/>
        <v>-4.1779093045521742E-2</v>
      </c>
      <c r="I207" s="105">
        <v>44466</v>
      </c>
      <c r="J207" s="85">
        <v>45176.83</v>
      </c>
      <c r="K207" s="85">
        <v>45236.480000000003</v>
      </c>
      <c r="L207" s="85">
        <v>44336.6</v>
      </c>
      <c r="M207" s="85">
        <v>44817.760000000002</v>
      </c>
      <c r="N207" s="114">
        <f t="shared" si="7"/>
        <v>-3.6761568949245982E-2</v>
      </c>
    </row>
    <row r="208" spans="1:14">
      <c r="A208" s="103" t="s">
        <v>1810</v>
      </c>
      <c r="B208" s="103">
        <v>119</v>
      </c>
      <c r="C208" s="103">
        <v>121</v>
      </c>
      <c r="D208" s="103">
        <v>113.51</v>
      </c>
      <c r="E208" s="103">
        <v>114.89</v>
      </c>
      <c r="F208" s="104">
        <v>3115252</v>
      </c>
      <c r="G208" s="112">
        <f t="shared" si="6"/>
        <v>-3.4294359922669604E-2</v>
      </c>
      <c r="I208" s="105">
        <v>44459</v>
      </c>
      <c r="J208" s="85">
        <v>46650.53</v>
      </c>
      <c r="K208" s="85">
        <v>46694.5</v>
      </c>
      <c r="L208" s="85">
        <v>46214.74</v>
      </c>
      <c r="M208" s="85">
        <v>46528.21</v>
      </c>
      <c r="N208" s="114">
        <f t="shared" si="7"/>
        <v>-1.5702195409141306E-2</v>
      </c>
    </row>
    <row r="209" spans="1:14">
      <c r="A209" s="103" t="s">
        <v>1811</v>
      </c>
      <c r="B209" s="103">
        <v>116.35</v>
      </c>
      <c r="C209" s="103">
        <v>122</v>
      </c>
      <c r="D209" s="103">
        <v>115.52</v>
      </c>
      <c r="E209" s="103">
        <v>118.97</v>
      </c>
      <c r="F209" s="104">
        <v>11018093</v>
      </c>
      <c r="G209" s="112">
        <f t="shared" si="6"/>
        <v>2.7729785763648929E-2</v>
      </c>
      <c r="I209" s="105">
        <v>44452</v>
      </c>
      <c r="J209" s="85">
        <v>47265.43</v>
      </c>
      <c r="K209" s="85">
        <v>47377.07</v>
      </c>
      <c r="L209" s="85">
        <v>47168.75</v>
      </c>
      <c r="M209" s="85">
        <v>47270.46</v>
      </c>
      <c r="N209" s="114">
        <f t="shared" si="7"/>
        <v>7.5010891221634068E-3</v>
      </c>
    </row>
    <row r="210" spans="1:14">
      <c r="A210" s="103" t="s">
        <v>1812</v>
      </c>
      <c r="B210" s="103">
        <v>121</v>
      </c>
      <c r="C210" s="103">
        <v>121.88</v>
      </c>
      <c r="D210" s="103">
        <v>115.02</v>
      </c>
      <c r="E210" s="103">
        <v>115.76</v>
      </c>
      <c r="F210" s="104">
        <v>12483015</v>
      </c>
      <c r="G210" s="112">
        <f t="shared" si="6"/>
        <v>-4.1959778200777897E-2</v>
      </c>
      <c r="I210" s="105">
        <v>44445</v>
      </c>
      <c r="J210" s="85">
        <v>46987.79</v>
      </c>
      <c r="K210" s="85">
        <v>47087.839999999997</v>
      </c>
      <c r="L210" s="85">
        <v>46885.85</v>
      </c>
      <c r="M210" s="85">
        <v>46918.52</v>
      </c>
      <c r="N210" s="114">
        <f t="shared" si="7"/>
        <v>-9.4410090001836311E-3</v>
      </c>
    </row>
    <row r="211" spans="1:14">
      <c r="A211" s="103" t="s">
        <v>1813</v>
      </c>
      <c r="B211" s="103">
        <v>126.93</v>
      </c>
      <c r="C211" s="103">
        <v>127.35</v>
      </c>
      <c r="D211" s="103">
        <v>119.75</v>
      </c>
      <c r="E211" s="103">
        <v>120.83</v>
      </c>
      <c r="F211" s="104">
        <v>8749387</v>
      </c>
      <c r="G211" s="112">
        <f t="shared" si="6"/>
        <v>-4.8057984715985214E-2</v>
      </c>
      <c r="I211" s="105">
        <v>44438</v>
      </c>
      <c r="J211" s="85">
        <v>47158.45</v>
      </c>
      <c r="K211" s="85">
        <v>47468.14</v>
      </c>
      <c r="L211" s="85">
        <v>47158.45</v>
      </c>
      <c r="M211" s="85">
        <v>47365.7</v>
      </c>
      <c r="N211" s="114">
        <f t="shared" si="7"/>
        <v>-1.5516019738024966E-2</v>
      </c>
    </row>
    <row r="212" spans="1:14">
      <c r="A212" s="103" t="s">
        <v>1814</v>
      </c>
      <c r="B212" s="103">
        <v>129.52000000000001</v>
      </c>
      <c r="C212" s="103">
        <v>130.99</v>
      </c>
      <c r="D212" s="103">
        <v>125.76</v>
      </c>
      <c r="E212" s="103">
        <v>126.93</v>
      </c>
      <c r="F212" s="104">
        <v>3861930</v>
      </c>
      <c r="G212" s="112">
        <f t="shared" si="6"/>
        <v>-1.9996911673872741E-2</v>
      </c>
      <c r="I212" s="105">
        <v>44431</v>
      </c>
      <c r="J212" s="85">
        <v>47681.64</v>
      </c>
      <c r="K212" s="85">
        <v>48146.19</v>
      </c>
      <c r="L212" s="85">
        <v>47681.64</v>
      </c>
      <c r="M212" s="85">
        <v>48112.21</v>
      </c>
      <c r="N212" s="114">
        <f t="shared" si="7"/>
        <v>2.5567014880163663E-2</v>
      </c>
    </row>
    <row r="213" spans="1:14">
      <c r="A213" s="103" t="s">
        <v>1815</v>
      </c>
      <c r="B213" s="103">
        <v>129.97</v>
      </c>
      <c r="C213" s="103">
        <v>131</v>
      </c>
      <c r="D213" s="103">
        <v>128.25</v>
      </c>
      <c r="E213" s="103">
        <v>129.52000000000001</v>
      </c>
      <c r="F213" s="104">
        <v>1789253</v>
      </c>
      <c r="G213" s="112">
        <f t="shared" si="6"/>
        <v>-1.2338062924120985E-3</v>
      </c>
      <c r="I213" s="105">
        <v>44424</v>
      </c>
      <c r="J213" s="85">
        <v>47134.71</v>
      </c>
      <c r="K213" s="85">
        <v>47173.03</v>
      </c>
      <c r="L213" s="85">
        <v>46672.19</v>
      </c>
      <c r="M213" s="85">
        <v>46912.79</v>
      </c>
      <c r="N213" s="114">
        <f t="shared" si="7"/>
        <v>-4.4739771689866759E-3</v>
      </c>
    </row>
    <row r="214" spans="1:14">
      <c r="A214" s="103" t="s">
        <v>1816</v>
      </c>
      <c r="B214" s="103">
        <v>129.88999999999999</v>
      </c>
      <c r="C214" s="103">
        <v>130.47999999999999</v>
      </c>
      <c r="D214" s="103">
        <v>127.1</v>
      </c>
      <c r="E214" s="103">
        <v>129.68</v>
      </c>
      <c r="F214" s="104">
        <v>2256996</v>
      </c>
      <c r="G214" s="112">
        <f t="shared" si="6"/>
        <v>4.8039671470634371E-3</v>
      </c>
      <c r="I214" s="105">
        <v>44417</v>
      </c>
      <c r="J214" s="85">
        <v>47542.61</v>
      </c>
      <c r="K214" s="85">
        <v>47625.42</v>
      </c>
      <c r="L214" s="85">
        <v>47039.45</v>
      </c>
      <c r="M214" s="85">
        <v>47123.62</v>
      </c>
      <c r="N214" s="114">
        <f t="shared" si="7"/>
        <v>-6.9464156828035195E-3</v>
      </c>
    </row>
    <row r="215" spans="1:14">
      <c r="A215" s="103" t="s">
        <v>1817</v>
      </c>
      <c r="B215" s="103">
        <v>126</v>
      </c>
      <c r="C215" s="103">
        <v>130</v>
      </c>
      <c r="D215" s="103">
        <v>125.91</v>
      </c>
      <c r="E215" s="103">
        <v>129.06</v>
      </c>
      <c r="F215" s="104">
        <v>5759755</v>
      </c>
      <c r="G215" s="112">
        <f t="shared" si="6"/>
        <v>1.8867924528301883E-2</v>
      </c>
      <c r="I215" s="105">
        <v>44410</v>
      </c>
      <c r="J215" s="85">
        <v>47104.52</v>
      </c>
      <c r="K215" s="85">
        <v>47508.74</v>
      </c>
      <c r="L215" s="85">
        <v>47047.14</v>
      </c>
      <c r="M215" s="85">
        <v>47453.25</v>
      </c>
      <c r="N215" s="114">
        <f t="shared" si="7"/>
        <v>-4.6028459067122274E-3</v>
      </c>
    </row>
    <row r="216" spans="1:14">
      <c r="A216" s="103" t="s">
        <v>1818</v>
      </c>
      <c r="B216" s="103">
        <v>129.97999999999999</v>
      </c>
      <c r="C216" s="103">
        <v>131.94999999999999</v>
      </c>
      <c r="D216" s="103">
        <v>126</v>
      </c>
      <c r="E216" s="103">
        <v>126.67</v>
      </c>
      <c r="F216" s="104">
        <v>6313442</v>
      </c>
      <c r="G216" s="112">
        <f t="shared" si="6"/>
        <v>-2.0416054442811804E-2</v>
      </c>
      <c r="I216" s="105">
        <v>44403</v>
      </c>
      <c r="J216" s="85">
        <v>47832.84</v>
      </c>
      <c r="K216" s="85">
        <v>47930.85</v>
      </c>
      <c r="L216" s="85">
        <v>47606.89</v>
      </c>
      <c r="M216" s="85">
        <v>47672.68</v>
      </c>
      <c r="N216" s="114">
        <f t="shared" si="7"/>
        <v>-4.1898128516838495E-3</v>
      </c>
    </row>
    <row r="217" spans="1:14">
      <c r="A217" s="103" t="s">
        <v>1819</v>
      </c>
      <c r="B217" s="103">
        <v>130</v>
      </c>
      <c r="C217" s="103">
        <v>130.1</v>
      </c>
      <c r="D217" s="103">
        <v>128.07</v>
      </c>
      <c r="E217" s="103">
        <v>129.31</v>
      </c>
      <c r="F217" s="104">
        <v>352828</v>
      </c>
      <c r="G217" s="112">
        <f t="shared" si="6"/>
        <v>-5.0780949449872326E-3</v>
      </c>
      <c r="I217" s="105">
        <v>44396</v>
      </c>
      <c r="J217" s="85">
        <v>47978.3</v>
      </c>
      <c r="K217" s="85">
        <v>48006.44</v>
      </c>
      <c r="L217" s="85">
        <v>47751.38</v>
      </c>
      <c r="M217" s="85">
        <v>47873.26</v>
      </c>
      <c r="N217" s="114">
        <f t="shared" si="7"/>
        <v>8.9822176622882388E-3</v>
      </c>
    </row>
    <row r="218" spans="1:14">
      <c r="A218" s="103" t="s">
        <v>1820</v>
      </c>
      <c r="B218" s="103">
        <v>129.44</v>
      </c>
      <c r="C218" s="103">
        <v>130.5</v>
      </c>
      <c r="D218" s="103">
        <v>127.31</v>
      </c>
      <c r="E218" s="103">
        <v>129.97</v>
      </c>
      <c r="F218" s="104">
        <v>3438333</v>
      </c>
      <c r="G218" s="112">
        <f t="shared" si="6"/>
        <v>1.0024867889337763E-2</v>
      </c>
      <c r="I218" s="105">
        <v>44389</v>
      </c>
      <c r="J218" s="85">
        <v>47563.839999999997</v>
      </c>
      <c r="K218" s="85">
        <v>47715.28</v>
      </c>
      <c r="L218" s="85">
        <v>47407.85</v>
      </c>
      <c r="M218" s="85">
        <v>47447.08</v>
      </c>
      <c r="N218" s="114">
        <f t="shared" si="7"/>
        <v>3.7867031899385672E-4</v>
      </c>
    </row>
    <row r="219" spans="1:14">
      <c r="A219" s="103" t="s">
        <v>1821</v>
      </c>
      <c r="B219" s="103">
        <v>123.15</v>
      </c>
      <c r="C219" s="103">
        <v>130.4</v>
      </c>
      <c r="D219" s="103">
        <v>122.5</v>
      </c>
      <c r="E219" s="103">
        <v>128.68</v>
      </c>
      <c r="F219" s="104">
        <v>7442098</v>
      </c>
      <c r="G219" s="112">
        <f t="shared" si="6"/>
        <v>4.1353079226349454E-2</v>
      </c>
      <c r="I219" s="105">
        <v>44382</v>
      </c>
      <c r="J219" s="85">
        <v>47716.28</v>
      </c>
      <c r="K219" s="85">
        <v>47742.23</v>
      </c>
      <c r="L219" s="85">
        <v>47375.13</v>
      </c>
      <c r="M219" s="85">
        <v>47429.120000000003</v>
      </c>
      <c r="N219" s="114">
        <f t="shared" si="7"/>
        <v>9.0797587780186984E-3</v>
      </c>
    </row>
    <row r="220" spans="1:14">
      <c r="A220" s="103" t="s">
        <v>1822</v>
      </c>
      <c r="B220" s="103">
        <v>127.25</v>
      </c>
      <c r="C220" s="103">
        <v>128</v>
      </c>
      <c r="D220" s="103">
        <v>122.05</v>
      </c>
      <c r="E220" s="103">
        <v>123.57</v>
      </c>
      <c r="F220" s="104">
        <v>8584921</v>
      </c>
      <c r="G220" s="112">
        <f t="shared" si="6"/>
        <v>-3.0671477878883024E-2</v>
      </c>
      <c r="I220" s="105">
        <v>44375</v>
      </c>
      <c r="J220" s="85">
        <v>47602.09</v>
      </c>
      <c r="K220" s="85">
        <v>47665.84</v>
      </c>
      <c r="L220" s="85">
        <v>46900.26</v>
      </c>
      <c r="M220" s="85">
        <v>47002.35</v>
      </c>
      <c r="N220" s="114">
        <f t="shared" si="7"/>
        <v>-2.1039720472909917E-2</v>
      </c>
    </row>
    <row r="221" spans="1:14">
      <c r="A221" s="103" t="s">
        <v>1823</v>
      </c>
      <c r="B221" s="103">
        <v>130.94999999999999</v>
      </c>
      <c r="C221" s="103">
        <v>132</v>
      </c>
      <c r="D221" s="103">
        <v>126.26</v>
      </c>
      <c r="E221" s="103">
        <v>127.48</v>
      </c>
      <c r="F221" s="104">
        <v>3577107</v>
      </c>
      <c r="G221" s="112">
        <f t="shared" si="6"/>
        <v>-1.9610859032530903E-2</v>
      </c>
      <c r="I221" s="105">
        <v>44368</v>
      </c>
      <c r="J221" s="85">
        <v>48325.8</v>
      </c>
      <c r="K221" s="85">
        <v>48372.01</v>
      </c>
      <c r="L221" s="85">
        <v>47963.97</v>
      </c>
      <c r="M221" s="85">
        <v>48012.52</v>
      </c>
      <c r="N221" s="114">
        <f t="shared" si="7"/>
        <v>-1.4644313681708154E-2</v>
      </c>
    </row>
    <row r="222" spans="1:14">
      <c r="A222" s="103" t="s">
        <v>1824</v>
      </c>
      <c r="B222" s="103">
        <v>136.5</v>
      </c>
      <c r="C222" s="103">
        <v>136.5</v>
      </c>
      <c r="D222" s="103">
        <v>129</v>
      </c>
      <c r="E222" s="103">
        <v>130.03</v>
      </c>
      <c r="F222" s="104">
        <v>4995564</v>
      </c>
      <c r="G222" s="112">
        <f t="shared" si="6"/>
        <v>-3.752775721687629E-2</v>
      </c>
      <c r="I222" s="105">
        <v>44361</v>
      </c>
      <c r="J222" s="85">
        <v>48515.66</v>
      </c>
      <c r="K222" s="85">
        <v>48986.94</v>
      </c>
      <c r="L222" s="85">
        <v>48515.66</v>
      </c>
      <c r="M222" s="85">
        <v>48726.080000000002</v>
      </c>
      <c r="N222" s="114">
        <f t="shared" si="7"/>
        <v>8.7659768633858715E-3</v>
      </c>
    </row>
    <row r="223" spans="1:14">
      <c r="A223" s="103" t="s">
        <v>1825</v>
      </c>
      <c r="B223" s="103">
        <v>134</v>
      </c>
      <c r="C223" s="103">
        <v>136.5</v>
      </c>
      <c r="D223" s="103">
        <v>132.01</v>
      </c>
      <c r="E223" s="103">
        <v>135.1</v>
      </c>
      <c r="F223" s="104">
        <v>4066568</v>
      </c>
      <c r="G223" s="112">
        <f t="shared" si="6"/>
        <v>1.0622381807301018E-2</v>
      </c>
      <c r="I223" s="105">
        <v>44354</v>
      </c>
      <c r="J223" s="85">
        <v>48241.79</v>
      </c>
      <c r="K223" s="85">
        <v>48636.29</v>
      </c>
      <c r="L223" s="85">
        <v>48211.14</v>
      </c>
      <c r="M223" s="85">
        <v>48302.66</v>
      </c>
      <c r="N223" s="114">
        <f t="shared" si="7"/>
        <v>8.4833204374281657E-3</v>
      </c>
    </row>
    <row r="224" spans="1:14">
      <c r="A224" s="103" t="s">
        <v>1826</v>
      </c>
      <c r="B224" s="103">
        <v>134.94999999999999</v>
      </c>
      <c r="C224" s="103">
        <v>137.75</v>
      </c>
      <c r="D224" s="103">
        <v>132.57</v>
      </c>
      <c r="E224" s="103">
        <v>133.68</v>
      </c>
      <c r="F224" s="104">
        <v>6861787</v>
      </c>
      <c r="G224" s="112">
        <f t="shared" si="6"/>
        <v>-2.9089281718504001E-3</v>
      </c>
      <c r="I224" s="105">
        <v>44347</v>
      </c>
      <c r="J224" s="85">
        <v>47395.39</v>
      </c>
      <c r="K224" s="85">
        <v>47979.86</v>
      </c>
      <c r="L224" s="85">
        <v>47395.39</v>
      </c>
      <c r="M224" s="85">
        <v>47896.34</v>
      </c>
      <c r="N224" s="114">
        <f t="shared" si="7"/>
        <v>3.9031297189780378E-2</v>
      </c>
    </row>
    <row r="225" spans="1:14">
      <c r="A225" s="103" t="s">
        <v>1827</v>
      </c>
      <c r="B225" s="103">
        <v>124.5</v>
      </c>
      <c r="C225" s="103">
        <v>135.19</v>
      </c>
      <c r="D225" s="103">
        <v>124</v>
      </c>
      <c r="E225" s="103">
        <v>134.07</v>
      </c>
      <c r="F225" s="104">
        <v>16417465</v>
      </c>
      <c r="G225" s="112">
        <f t="shared" si="6"/>
        <v>8.2169666639761108E-2</v>
      </c>
      <c r="I225" s="105">
        <v>44340</v>
      </c>
      <c r="J225" s="85">
        <v>46133.93</v>
      </c>
      <c r="K225" s="85">
        <v>46314.83</v>
      </c>
      <c r="L225" s="85">
        <v>45914.98</v>
      </c>
      <c r="M225" s="85">
        <v>46097.11</v>
      </c>
      <c r="N225" s="114">
        <f t="shared" si="7"/>
        <v>6.5682147753827191E-3</v>
      </c>
    </row>
    <row r="226" spans="1:14">
      <c r="A226" s="103" t="s">
        <v>1828</v>
      </c>
      <c r="B226" s="103">
        <v>125.8</v>
      </c>
      <c r="C226" s="103">
        <v>128.25</v>
      </c>
      <c r="D226" s="103">
        <v>121.2</v>
      </c>
      <c r="E226" s="103">
        <v>123.89</v>
      </c>
      <c r="F226" s="104">
        <v>5363985</v>
      </c>
      <c r="G226" s="112">
        <f t="shared" si="6"/>
        <v>-2.5025576453923004E-2</v>
      </c>
      <c r="I226" s="105">
        <v>44333</v>
      </c>
      <c r="J226" s="85">
        <v>45499.519999999997</v>
      </c>
      <c r="K226" s="85">
        <v>45807.49</v>
      </c>
      <c r="L226" s="85">
        <v>45352.54</v>
      </c>
      <c r="M226" s="85">
        <v>45796.31</v>
      </c>
      <c r="N226" s="114">
        <f t="shared" si="7"/>
        <v>3.9025823460280273E-2</v>
      </c>
    </row>
    <row r="227" spans="1:14">
      <c r="A227" s="103" t="s">
        <v>1829</v>
      </c>
      <c r="B227" s="103">
        <v>126</v>
      </c>
      <c r="C227" s="103">
        <v>129</v>
      </c>
      <c r="D227" s="103">
        <v>123.55</v>
      </c>
      <c r="E227" s="103">
        <v>127.07</v>
      </c>
      <c r="F227" s="104">
        <v>7757335</v>
      </c>
      <c r="G227" s="112">
        <f t="shared" si="6"/>
        <v>1.7781337605126124E-2</v>
      </c>
      <c r="I227" s="105">
        <v>44319</v>
      </c>
      <c r="J227" s="85">
        <v>44210.09</v>
      </c>
      <c r="K227" s="85">
        <v>44326.01</v>
      </c>
      <c r="L227" s="85">
        <v>43630.07</v>
      </c>
      <c r="M227" s="85">
        <v>44076.2</v>
      </c>
      <c r="N227" s="114">
        <f t="shared" si="7"/>
        <v>-3.516796376401865E-2</v>
      </c>
    </row>
    <row r="228" spans="1:14">
      <c r="A228" s="103" t="s">
        <v>1830</v>
      </c>
      <c r="B228" s="103">
        <v>122.5</v>
      </c>
      <c r="C228" s="103">
        <v>129.19999999999999</v>
      </c>
      <c r="D228" s="103">
        <v>121</v>
      </c>
      <c r="E228" s="103">
        <v>124.85</v>
      </c>
      <c r="F228" s="104">
        <v>10614638</v>
      </c>
      <c r="G228" s="112">
        <f t="shared" si="6"/>
        <v>2.2941417451864066E-2</v>
      </c>
      <c r="I228" s="105">
        <v>44312</v>
      </c>
      <c r="J228" s="85">
        <v>44574.1</v>
      </c>
      <c r="K228" s="85">
        <v>45952.45</v>
      </c>
      <c r="L228" s="85">
        <v>44388.71</v>
      </c>
      <c r="M228" s="85">
        <v>45682.77</v>
      </c>
      <c r="N228" s="114">
        <f t="shared" si="7"/>
        <v>1.712622710686329E-2</v>
      </c>
    </row>
    <row r="229" spans="1:14">
      <c r="A229" s="103" t="s">
        <v>1831</v>
      </c>
      <c r="B229" s="103">
        <v>117.05</v>
      </c>
      <c r="C229" s="103">
        <v>127.49</v>
      </c>
      <c r="D229" s="103">
        <v>116.9</v>
      </c>
      <c r="E229" s="103">
        <v>122.05</v>
      </c>
      <c r="F229" s="104">
        <v>4571077</v>
      </c>
      <c r="G229" s="112">
        <f t="shared" si="6"/>
        <v>2.9697123091200428E-2</v>
      </c>
      <c r="I229" s="105">
        <v>44305</v>
      </c>
      <c r="J229" s="85">
        <v>45057.33</v>
      </c>
      <c r="K229" s="85">
        <v>45251.79</v>
      </c>
      <c r="L229" s="85">
        <v>44606.06</v>
      </c>
      <c r="M229" s="85">
        <v>44913.57</v>
      </c>
      <c r="N229" s="114">
        <f t="shared" si="7"/>
        <v>-1.4335881613365409E-3</v>
      </c>
    </row>
    <row r="230" spans="1:14">
      <c r="A230" s="103" t="s">
        <v>1832</v>
      </c>
      <c r="B230" s="103">
        <v>118.7</v>
      </c>
      <c r="C230" s="103">
        <v>119.3</v>
      </c>
      <c r="D230" s="103">
        <v>115.77</v>
      </c>
      <c r="E230" s="103">
        <v>118.53</v>
      </c>
      <c r="F230" s="104">
        <v>3852419</v>
      </c>
      <c r="G230" s="112">
        <f t="shared" si="6"/>
        <v>9.883275112890777E-3</v>
      </c>
      <c r="I230" s="105">
        <v>44298</v>
      </c>
      <c r="J230" s="85">
        <v>45226.33</v>
      </c>
      <c r="K230" s="85">
        <v>45268.68</v>
      </c>
      <c r="L230" s="85">
        <v>44757.31</v>
      </c>
      <c r="M230" s="85">
        <v>44978.05</v>
      </c>
      <c r="N230" s="114">
        <f t="shared" si="7"/>
        <v>3.2833496485848768E-2</v>
      </c>
    </row>
    <row r="231" spans="1:14">
      <c r="A231" s="103" t="s">
        <v>1833</v>
      </c>
      <c r="B231" s="103">
        <v>117.89</v>
      </c>
      <c r="C231" s="103">
        <v>118.95</v>
      </c>
      <c r="D231" s="103">
        <v>112.11</v>
      </c>
      <c r="E231" s="103">
        <v>117.37</v>
      </c>
      <c r="F231" s="104">
        <v>3885662</v>
      </c>
      <c r="G231" s="112">
        <f t="shared" si="6"/>
        <v>-3.4068648326368578E-4</v>
      </c>
      <c r="I231" s="105">
        <v>44291</v>
      </c>
      <c r="J231" s="85">
        <v>44397.09</v>
      </c>
      <c r="K231" s="85">
        <v>44431.24</v>
      </c>
      <c r="L231" s="85">
        <v>43471.19</v>
      </c>
      <c r="M231" s="85">
        <v>43548.21</v>
      </c>
      <c r="N231" s="114">
        <f t="shared" si="7"/>
        <v>-1.9886432690100375E-2</v>
      </c>
    </row>
    <row r="232" spans="1:14">
      <c r="A232" s="103" t="s">
        <v>1834</v>
      </c>
      <c r="B232" s="103">
        <v>120</v>
      </c>
      <c r="C232" s="103">
        <v>120.4</v>
      </c>
      <c r="D232" s="103">
        <v>115</v>
      </c>
      <c r="E232" s="103">
        <v>117.41</v>
      </c>
      <c r="F232" s="104">
        <v>4446803</v>
      </c>
      <c r="G232" s="112">
        <f t="shared" si="6"/>
        <v>-2.4104396974482634E-2</v>
      </c>
      <c r="I232" s="105">
        <v>44284</v>
      </c>
      <c r="J232" s="85">
        <v>45450.18</v>
      </c>
      <c r="K232" s="85">
        <v>45450.18</v>
      </c>
      <c r="L232" s="85">
        <v>44312.97</v>
      </c>
      <c r="M232" s="85">
        <v>44431.8</v>
      </c>
      <c r="N232" s="114">
        <f t="shared" si="7"/>
        <v>-2.1483976265506022E-2</v>
      </c>
    </row>
    <row r="233" spans="1:14">
      <c r="A233" s="103" t="s">
        <v>1835</v>
      </c>
      <c r="B233" s="103">
        <v>123.34</v>
      </c>
      <c r="C233" s="103">
        <v>125</v>
      </c>
      <c r="D233" s="103">
        <v>119.1</v>
      </c>
      <c r="E233" s="103">
        <v>120.31</v>
      </c>
      <c r="F233" s="104">
        <v>2532652</v>
      </c>
      <c r="G233" s="112">
        <f t="shared" si="6"/>
        <v>-2.4645318200243183E-2</v>
      </c>
      <c r="I233" s="105">
        <v>44277</v>
      </c>
      <c r="J233" s="85">
        <v>44917.5</v>
      </c>
      <c r="K233" s="85">
        <v>45465.63</v>
      </c>
      <c r="L233" s="85">
        <v>44735.57</v>
      </c>
      <c r="M233" s="85">
        <v>45407.33</v>
      </c>
      <c r="N233" s="114">
        <f t="shared" si="7"/>
        <v>1.4312906120390378E-2</v>
      </c>
    </row>
    <row r="234" spans="1:14">
      <c r="A234" s="103" t="s">
        <v>1836</v>
      </c>
      <c r="B234" s="103">
        <v>119.5</v>
      </c>
      <c r="C234" s="103">
        <v>125</v>
      </c>
      <c r="D234" s="103">
        <v>118.01</v>
      </c>
      <c r="E234" s="103">
        <v>123.35</v>
      </c>
      <c r="F234" s="104">
        <v>7172584</v>
      </c>
      <c r="G234" s="112">
        <f t="shared" si="6"/>
        <v>4.3658515948895804E-2</v>
      </c>
      <c r="I234" s="105">
        <v>44270</v>
      </c>
      <c r="J234" s="85">
        <v>44326.98</v>
      </c>
      <c r="K234" s="85">
        <v>44839.19</v>
      </c>
      <c r="L234" s="85">
        <v>43788.08</v>
      </c>
      <c r="M234" s="85">
        <v>44766.59</v>
      </c>
      <c r="N234" s="114">
        <f t="shared" si="7"/>
        <v>-6.3141702579631032E-3</v>
      </c>
    </row>
    <row r="235" spans="1:14">
      <c r="A235" s="103" t="s">
        <v>1837</v>
      </c>
      <c r="B235" s="103">
        <v>122.89</v>
      </c>
      <c r="C235" s="103">
        <v>122.89</v>
      </c>
      <c r="D235" s="103">
        <v>114.01</v>
      </c>
      <c r="E235" s="103">
        <v>118.19</v>
      </c>
      <c r="F235" s="104">
        <v>5156356</v>
      </c>
      <c r="G235" s="112">
        <f t="shared" si="6"/>
        <v>-2.7162729442752442E-2</v>
      </c>
      <c r="I235" s="105">
        <v>44263</v>
      </c>
      <c r="J235" s="85">
        <v>46421.38</v>
      </c>
      <c r="K235" s="85">
        <v>46435.75</v>
      </c>
      <c r="L235" s="85">
        <v>44848.66</v>
      </c>
      <c r="M235" s="85">
        <v>45051.05</v>
      </c>
      <c r="N235" s="114">
        <f t="shared" si="7"/>
        <v>-1.1896012210531159E-2</v>
      </c>
    </row>
    <row r="236" spans="1:14">
      <c r="A236" s="103" t="s">
        <v>1838</v>
      </c>
      <c r="B236" s="103">
        <v>123</v>
      </c>
      <c r="C236" s="103">
        <v>124.8</v>
      </c>
      <c r="D236" s="103">
        <v>118.03</v>
      </c>
      <c r="E236" s="103">
        <v>121.49</v>
      </c>
      <c r="F236" s="104">
        <v>8864819</v>
      </c>
      <c r="G236" s="112">
        <f t="shared" si="6"/>
        <v>-1.7548115801390929E-2</v>
      </c>
      <c r="I236" s="105">
        <v>44256</v>
      </c>
      <c r="J236" s="85">
        <v>45856.59</v>
      </c>
      <c r="K236" s="85">
        <v>46014.23</v>
      </c>
      <c r="L236" s="85">
        <v>45088.58</v>
      </c>
      <c r="M236" s="85">
        <v>45593.43</v>
      </c>
      <c r="N236" s="114">
        <f t="shared" si="7"/>
        <v>-6.4634940392294116E-3</v>
      </c>
    </row>
    <row r="237" spans="1:14">
      <c r="A237" s="103" t="s">
        <v>1839</v>
      </c>
      <c r="B237" s="103">
        <v>124.49</v>
      </c>
      <c r="C237" s="103">
        <v>127.22</v>
      </c>
      <c r="D237" s="103">
        <v>116.4</v>
      </c>
      <c r="E237" s="103">
        <v>123.66</v>
      </c>
      <c r="F237" s="104">
        <v>18521479</v>
      </c>
      <c r="G237" s="112">
        <f t="shared" si="6"/>
        <v>-1.1308562197092087E-3</v>
      </c>
      <c r="I237" s="105">
        <v>44249</v>
      </c>
      <c r="J237" s="85">
        <v>46339.8</v>
      </c>
      <c r="K237" s="85">
        <v>46407.47</v>
      </c>
      <c r="L237" s="85">
        <v>45762.07</v>
      </c>
      <c r="M237" s="85">
        <v>45890.04</v>
      </c>
      <c r="N237" s="114">
        <f t="shared" si="7"/>
        <v>-1.0469947659965007E-2</v>
      </c>
    </row>
    <row r="238" spans="1:14">
      <c r="A238" s="103" t="s">
        <v>1840</v>
      </c>
      <c r="B238" s="103">
        <v>134.5</v>
      </c>
      <c r="C238" s="103">
        <v>140.24</v>
      </c>
      <c r="D238" s="103">
        <v>123</v>
      </c>
      <c r="E238" s="103">
        <v>123.8</v>
      </c>
      <c r="F238" s="104">
        <v>14202795</v>
      </c>
      <c r="G238" s="112">
        <f t="shared" si="6"/>
        <v>-7.2589707094164457E-2</v>
      </c>
      <c r="I238" s="105">
        <v>44242</v>
      </c>
      <c r="J238" s="85">
        <v>46098.74</v>
      </c>
      <c r="K238" s="85">
        <v>46507.42</v>
      </c>
      <c r="L238" s="85">
        <v>46098.74</v>
      </c>
      <c r="M238" s="85">
        <v>46375.59</v>
      </c>
      <c r="N238" s="114">
        <f t="shared" si="7"/>
        <v>-7.4115184173922932E-3</v>
      </c>
    </row>
    <row r="239" spans="1:14">
      <c r="A239" s="103" t="s">
        <v>1841</v>
      </c>
      <c r="B239" s="103">
        <v>139.94999999999999</v>
      </c>
      <c r="C239" s="103">
        <v>140</v>
      </c>
      <c r="D239" s="103">
        <v>132.51</v>
      </c>
      <c r="E239" s="103">
        <v>133.49</v>
      </c>
      <c r="F239" s="104">
        <v>9600436</v>
      </c>
      <c r="G239" s="112">
        <f t="shared" si="6"/>
        <v>-4.2464672548597537E-2</v>
      </c>
      <c r="I239" s="105">
        <v>44235</v>
      </c>
      <c r="J239" s="85">
        <v>47013.02</v>
      </c>
      <c r="K239" s="85">
        <v>47074.16</v>
      </c>
      <c r="L239" s="85">
        <v>46659.21</v>
      </c>
      <c r="M239" s="85">
        <v>46721.87</v>
      </c>
      <c r="N239" s="114">
        <f t="shared" si="7"/>
        <v>1.0236451167552785E-2</v>
      </c>
    </row>
    <row r="240" spans="1:14">
      <c r="A240" s="103" t="s">
        <v>1842</v>
      </c>
      <c r="B240" s="103">
        <v>142.47</v>
      </c>
      <c r="C240" s="103">
        <v>142.69</v>
      </c>
      <c r="D240" s="103">
        <v>139</v>
      </c>
      <c r="E240" s="103">
        <v>139.41</v>
      </c>
      <c r="F240" s="104">
        <v>6183112</v>
      </c>
      <c r="G240" s="112">
        <f t="shared" si="6"/>
        <v>-1.9482346321564314E-2</v>
      </c>
      <c r="I240" s="105">
        <v>44228</v>
      </c>
      <c r="J240" s="85">
        <v>46539.24</v>
      </c>
      <c r="K240" s="85">
        <v>46762.64</v>
      </c>
      <c r="L240" s="85">
        <v>46188.25</v>
      </c>
      <c r="M240" s="85">
        <v>46248.45</v>
      </c>
      <c r="N240" s="114">
        <f t="shared" si="7"/>
        <v>3.4892218390873975E-3</v>
      </c>
    </row>
    <row r="241" spans="1:14">
      <c r="A241" s="103" t="s">
        <v>1843</v>
      </c>
      <c r="B241" s="103">
        <v>143</v>
      </c>
      <c r="C241" s="103">
        <v>144.75</v>
      </c>
      <c r="D241" s="103">
        <v>140.28</v>
      </c>
      <c r="E241" s="103">
        <v>142.18</v>
      </c>
      <c r="F241" s="104">
        <v>8217339</v>
      </c>
      <c r="G241" s="112">
        <f t="shared" si="6"/>
        <v>-5.5951881382010349E-3</v>
      </c>
      <c r="I241" s="105">
        <v>44221</v>
      </c>
      <c r="J241" s="85">
        <v>45983.62</v>
      </c>
      <c r="K241" s="85">
        <v>46189.43</v>
      </c>
      <c r="L241" s="85">
        <v>45983.62</v>
      </c>
      <c r="M241" s="85">
        <v>46087.64</v>
      </c>
      <c r="N241" s="114">
        <f t="shared" si="7"/>
        <v>7.8938597772679753E-3</v>
      </c>
    </row>
    <row r="242" spans="1:14">
      <c r="A242" s="103" t="s">
        <v>1844</v>
      </c>
      <c r="B242" s="103">
        <v>141.15</v>
      </c>
      <c r="C242" s="103">
        <v>143.5</v>
      </c>
      <c r="D242" s="103">
        <v>138.25</v>
      </c>
      <c r="E242" s="103">
        <v>142.97999999999999</v>
      </c>
      <c r="F242" s="104">
        <v>11382301</v>
      </c>
      <c r="G242" s="112">
        <f t="shared" si="6"/>
        <v>1.0459363957597168E-2</v>
      </c>
      <c r="I242" s="105">
        <v>44214</v>
      </c>
      <c r="J242" s="85">
        <v>45950.46</v>
      </c>
      <c r="K242" s="85">
        <v>46066.48</v>
      </c>
      <c r="L242" s="85">
        <v>45712.07</v>
      </c>
      <c r="M242" s="85">
        <v>45726.68</v>
      </c>
      <c r="N242" s="114">
        <f t="shared" si="7"/>
        <v>2.6588944910495016E-3</v>
      </c>
    </row>
    <row r="243" spans="1:14">
      <c r="A243" s="103" t="s">
        <v>1845</v>
      </c>
      <c r="B243" s="103">
        <v>141.5</v>
      </c>
      <c r="C243" s="103">
        <v>144.80000000000001</v>
      </c>
      <c r="D243" s="103">
        <v>138.9</v>
      </c>
      <c r="E243" s="103">
        <v>141.5</v>
      </c>
      <c r="F243" s="104">
        <v>13434725</v>
      </c>
      <c r="G243" s="112">
        <f t="shared" si="6"/>
        <v>9.8487011133314706E-3</v>
      </c>
      <c r="I243" s="105">
        <v>44207</v>
      </c>
      <c r="J243" s="85">
        <v>45962.94</v>
      </c>
      <c r="K243" s="85">
        <v>46108.97</v>
      </c>
      <c r="L243" s="85">
        <v>45527.34</v>
      </c>
      <c r="M243" s="85">
        <v>45605.42</v>
      </c>
      <c r="N243" s="114">
        <f t="shared" si="7"/>
        <v>2.0564618454896655E-2</v>
      </c>
    </row>
    <row r="244" spans="1:14">
      <c r="A244" s="103" t="s">
        <v>1846</v>
      </c>
      <c r="B244" s="103">
        <v>134.1</v>
      </c>
      <c r="C244" s="103">
        <v>142.47999999999999</v>
      </c>
      <c r="D244" s="103">
        <v>132.30000000000001</v>
      </c>
      <c r="E244" s="103">
        <v>140.12</v>
      </c>
      <c r="F244" s="104">
        <v>37773903</v>
      </c>
      <c r="G244" s="112">
        <f t="shared" si="6"/>
        <v>5.2426017725702323E-2</v>
      </c>
      <c r="I244" s="105">
        <v>44200</v>
      </c>
      <c r="J244" s="85">
        <v>44516.23</v>
      </c>
      <c r="K244" s="85">
        <v>45074.37</v>
      </c>
      <c r="L244" s="85">
        <v>44493.77</v>
      </c>
      <c r="M244" s="85">
        <v>44686.46</v>
      </c>
      <c r="N244" s="114">
        <f t="shared" si="7"/>
        <v>2.3175653954684572E-2</v>
      </c>
    </row>
    <row r="245" spans="1:14">
      <c r="A245" s="103" t="s">
        <v>1847</v>
      </c>
      <c r="B245" s="103">
        <v>135.68</v>
      </c>
      <c r="C245" s="103">
        <v>136</v>
      </c>
      <c r="D245" s="103">
        <v>130.85</v>
      </c>
      <c r="E245" s="103">
        <v>133.13999999999999</v>
      </c>
      <c r="F245" s="104">
        <v>15828793</v>
      </c>
      <c r="G245" s="112">
        <f t="shared" si="6"/>
        <v>-9.301287298162042E-3</v>
      </c>
      <c r="I245" s="105">
        <v>44193</v>
      </c>
      <c r="J245" s="85">
        <v>43564.2</v>
      </c>
      <c r="K245" s="85">
        <v>43761.81</v>
      </c>
      <c r="L245" s="85">
        <v>43534.96</v>
      </c>
      <c r="M245" s="85">
        <v>43674.28</v>
      </c>
      <c r="N245" s="114">
        <f t="shared" si="7"/>
        <v>7.8580764743239051E-3</v>
      </c>
    </row>
    <row r="246" spans="1:14">
      <c r="A246" s="103" t="s">
        <v>1848</v>
      </c>
      <c r="B246" s="103">
        <v>136.5</v>
      </c>
      <c r="C246" s="103">
        <v>136.5</v>
      </c>
      <c r="D246" s="103">
        <v>132.75</v>
      </c>
      <c r="E246" s="103">
        <v>134.38999999999999</v>
      </c>
      <c r="F246" s="104">
        <v>17399583</v>
      </c>
      <c r="G246" s="112">
        <f t="shared" si="6"/>
        <v>-1.5674210796162158E-2</v>
      </c>
      <c r="I246" s="105">
        <v>44186</v>
      </c>
      <c r="J246" s="85">
        <v>43732</v>
      </c>
      <c r="K246" s="85">
        <v>43791.06</v>
      </c>
      <c r="L246" s="85">
        <v>43287.54</v>
      </c>
      <c r="M246" s="85">
        <v>43333.760000000002</v>
      </c>
      <c r="N246" s="114">
        <f t="shared" si="7"/>
        <v>1.5610330645940973E-3</v>
      </c>
    </row>
    <row r="247" spans="1:14">
      <c r="A247" s="103" t="s">
        <v>1849</v>
      </c>
      <c r="B247" s="103">
        <v>133</v>
      </c>
      <c r="C247" s="103">
        <v>137.9</v>
      </c>
      <c r="D247" s="103">
        <v>132.06</v>
      </c>
      <c r="E247" s="103">
        <v>136.53</v>
      </c>
      <c r="F247" s="104">
        <v>38798318</v>
      </c>
      <c r="G247" s="112">
        <f t="shared" si="6"/>
        <v>2.79325402800783E-2</v>
      </c>
      <c r="I247" s="105">
        <v>44179</v>
      </c>
      <c r="J247" s="85">
        <v>42556.83</v>
      </c>
      <c r="K247" s="85">
        <v>43321.5</v>
      </c>
      <c r="L247" s="85">
        <v>42547.28</v>
      </c>
      <c r="M247" s="85">
        <v>43266.22</v>
      </c>
      <c r="N247" s="114">
        <f t="shared" si="7"/>
        <v>2.7327591795002881E-2</v>
      </c>
    </row>
    <row r="248" spans="1:14">
      <c r="A248" s="103" t="s">
        <v>1850</v>
      </c>
      <c r="B248" s="103">
        <v>130.01</v>
      </c>
      <c r="C248" s="103">
        <v>138.22</v>
      </c>
      <c r="D248" s="103">
        <v>129</v>
      </c>
      <c r="E248" s="103">
        <v>132.82</v>
      </c>
      <c r="F248" s="104">
        <v>34448564</v>
      </c>
      <c r="G248" s="112">
        <f t="shared" si="6"/>
        <v>2.2400123162189089E-2</v>
      </c>
      <c r="I248" s="105">
        <v>44172</v>
      </c>
      <c r="J248" s="85">
        <v>42247.57</v>
      </c>
      <c r="K248" s="85">
        <v>42321.37</v>
      </c>
      <c r="L248" s="85">
        <v>42044.59</v>
      </c>
      <c r="M248" s="85">
        <v>42115.31</v>
      </c>
      <c r="N248" s="114">
        <f t="shared" si="7"/>
        <v>2.5481374921412447E-2</v>
      </c>
    </row>
    <row r="249" spans="1:14">
      <c r="A249" s="103" t="s">
        <v>1851</v>
      </c>
      <c r="B249" s="103">
        <v>130.44</v>
      </c>
      <c r="C249" s="103">
        <v>131.5</v>
      </c>
      <c r="D249" s="103">
        <v>129.25</v>
      </c>
      <c r="E249" s="103">
        <v>129.91</v>
      </c>
      <c r="F249" s="104">
        <v>15467177</v>
      </c>
      <c r="G249" s="112">
        <f t="shared" si="6"/>
        <v>0</v>
      </c>
      <c r="I249" s="105">
        <v>44165</v>
      </c>
      <c r="J249" s="85">
        <v>40782.699999999997</v>
      </c>
      <c r="K249" s="85">
        <v>41115.1</v>
      </c>
      <c r="L249" s="85">
        <v>40669.49</v>
      </c>
      <c r="M249" s="85">
        <v>41068.82</v>
      </c>
      <c r="N249" s="114">
        <f t="shared" si="7"/>
        <v>3.6240440930831674E-2</v>
      </c>
    </row>
    <row r="250" spans="1:14">
      <c r="A250" s="103" t="s">
        <v>1852</v>
      </c>
      <c r="B250" s="103">
        <v>130.88</v>
      </c>
      <c r="C250" s="103">
        <v>131.05000000000001</v>
      </c>
      <c r="D250" s="103">
        <v>126.76</v>
      </c>
      <c r="E250" s="103">
        <v>129.91</v>
      </c>
      <c r="F250" s="104">
        <v>9228338</v>
      </c>
      <c r="G250" s="112">
        <f t="shared" si="6"/>
        <v>-3.2990639864969307E-3</v>
      </c>
      <c r="I250" s="105">
        <v>44158</v>
      </c>
      <c r="J250" s="85">
        <v>40143.57</v>
      </c>
      <c r="K250" s="85">
        <v>40153.86</v>
      </c>
      <c r="L250" s="85">
        <v>39314.28</v>
      </c>
      <c r="M250" s="85">
        <v>39632.519999999997</v>
      </c>
      <c r="N250" s="114">
        <f t="shared" si="7"/>
        <v>-2.1534017615218004E-2</v>
      </c>
    </row>
    <row r="251" spans="1:14">
      <c r="A251" s="103" t="s">
        <v>1853</v>
      </c>
      <c r="B251" s="103">
        <v>131.44999999999999</v>
      </c>
      <c r="C251" s="103">
        <v>132.5</v>
      </c>
      <c r="D251" s="103">
        <v>129</v>
      </c>
      <c r="E251" s="103">
        <v>130.34</v>
      </c>
      <c r="F251" s="104">
        <v>9998818</v>
      </c>
      <c r="G251" s="112">
        <f t="shared" si="6"/>
        <v>-6.0245557843361386E-3</v>
      </c>
      <c r="I251" s="105">
        <v>44151</v>
      </c>
      <c r="J251" s="85">
        <v>40574.720000000001</v>
      </c>
      <c r="K251" s="85">
        <v>40794.69</v>
      </c>
      <c r="L251" s="85">
        <v>40470.120000000003</v>
      </c>
      <c r="M251" s="85">
        <v>40504.75</v>
      </c>
      <c r="N251" s="114">
        <f t="shared" si="7"/>
        <v>-6.8480219223010508E-3</v>
      </c>
    </row>
    <row r="252" spans="1:14">
      <c r="A252" s="103" t="s">
        <v>1854</v>
      </c>
      <c r="B252" s="103">
        <v>128.1</v>
      </c>
      <c r="C252" s="103">
        <v>134.87</v>
      </c>
      <c r="D252" s="103">
        <v>128.02000000000001</v>
      </c>
      <c r="E252" s="103">
        <v>131.13</v>
      </c>
      <c r="F252" s="104">
        <v>12729555</v>
      </c>
      <c r="G252" s="112">
        <f t="shared" si="6"/>
        <v>2.5815536259094163E-2</v>
      </c>
      <c r="I252" s="105">
        <v>44144</v>
      </c>
      <c r="J252" s="85">
        <v>40832.61</v>
      </c>
      <c r="K252" s="85">
        <v>40945.68</v>
      </c>
      <c r="L252" s="85">
        <v>40596.99</v>
      </c>
      <c r="M252" s="85">
        <v>40784.04</v>
      </c>
      <c r="N252" s="114">
        <f t="shared" si="7"/>
        <v>4.2745252246231269E-2</v>
      </c>
    </row>
    <row r="253" spans="1:14">
      <c r="A253" s="103" t="s">
        <v>1855</v>
      </c>
      <c r="B253" s="103">
        <v>129.99</v>
      </c>
      <c r="C253" s="103">
        <v>132</v>
      </c>
      <c r="D253" s="103">
        <v>125.25</v>
      </c>
      <c r="E253" s="103">
        <v>127.83</v>
      </c>
      <c r="F253" s="104">
        <v>5502007</v>
      </c>
      <c r="G253" s="112">
        <f t="shared" si="6"/>
        <v>-1.7523633848282372E-2</v>
      </c>
      <c r="I253" s="105">
        <v>44137</v>
      </c>
      <c r="J253" s="85">
        <v>39703.31</v>
      </c>
      <c r="K253" s="85">
        <v>39703.31</v>
      </c>
      <c r="L253" s="85">
        <v>38776.699999999997</v>
      </c>
      <c r="M253" s="85">
        <v>39112.18</v>
      </c>
      <c r="N253" s="114">
        <f t="shared" si="7"/>
        <v>-6.5430328500492352E-2</v>
      </c>
    </row>
    <row r="254" spans="1:14">
      <c r="A254" s="103" t="s">
        <v>1856</v>
      </c>
      <c r="B254" s="103">
        <v>139.5</v>
      </c>
      <c r="C254" s="103">
        <v>139.80000000000001</v>
      </c>
      <c r="D254" s="103">
        <v>126.75</v>
      </c>
      <c r="E254" s="103">
        <v>130.11000000000001</v>
      </c>
      <c r="F254" s="104">
        <v>4381876</v>
      </c>
      <c r="G254" s="112">
        <f t="shared" si="6"/>
        <v>-6.3889488452406606E-2</v>
      </c>
      <c r="I254" s="105">
        <v>44130</v>
      </c>
      <c r="J254" s="85">
        <v>41370.019999999997</v>
      </c>
      <c r="K254" s="85">
        <v>41876.79</v>
      </c>
      <c r="L254" s="85">
        <v>41362.32</v>
      </c>
      <c r="M254" s="85">
        <v>41850.47</v>
      </c>
      <c r="N254" s="114">
        <f t="shared" si="7"/>
        <v>3.7439108461863269E-2</v>
      </c>
    </row>
    <row r="255" spans="1:14">
      <c r="A255" s="103" t="s">
        <v>1857</v>
      </c>
      <c r="B255" s="103">
        <v>138.5</v>
      </c>
      <c r="C255" s="103">
        <v>141.5</v>
      </c>
      <c r="D255" s="103">
        <v>135.41999999999999</v>
      </c>
      <c r="E255" s="103">
        <v>138.99</v>
      </c>
      <c r="F255" s="104">
        <v>5792033</v>
      </c>
      <c r="G255" s="112">
        <f t="shared" si="6"/>
        <v>2.7415049419232673E-3</v>
      </c>
      <c r="I255" s="105">
        <v>44123</v>
      </c>
      <c r="J255" s="85">
        <v>40168.44</v>
      </c>
      <c r="K255" s="85">
        <v>40491.85</v>
      </c>
      <c r="L255" s="85">
        <v>40075.919999999998</v>
      </c>
      <c r="M255" s="85">
        <v>40340.17</v>
      </c>
      <c r="N255" s="114">
        <f t="shared" si="7"/>
        <v>3.2417454243764965E-3</v>
      </c>
    </row>
    <row r="256" spans="1:14">
      <c r="A256" s="103" t="s">
        <v>1858</v>
      </c>
      <c r="B256" s="103">
        <v>136.65</v>
      </c>
      <c r="C256" s="103">
        <v>139.5</v>
      </c>
      <c r="D256" s="103">
        <v>130.11000000000001</v>
      </c>
      <c r="E256" s="103">
        <v>138.61000000000001</v>
      </c>
      <c r="F256" s="104">
        <v>6013658</v>
      </c>
      <c r="G256" s="112">
        <f t="shared" si="6"/>
        <v>1.9191176470588323E-2</v>
      </c>
      <c r="I256" s="105">
        <v>44116</v>
      </c>
      <c r="J256" s="85">
        <v>40822.71</v>
      </c>
      <c r="K256" s="85">
        <v>41052.03</v>
      </c>
      <c r="L256" s="85">
        <v>40149.06</v>
      </c>
      <c r="M256" s="85">
        <v>40209.82</v>
      </c>
      <c r="N256" s="114">
        <f t="shared" si="7"/>
        <v>2.9108730520491788E-2</v>
      </c>
    </row>
    <row r="257" spans="1:14">
      <c r="A257" s="103" t="s">
        <v>1859</v>
      </c>
      <c r="B257" s="103">
        <v>131.88</v>
      </c>
      <c r="C257" s="103">
        <v>136.85</v>
      </c>
      <c r="D257" s="103">
        <v>126.6</v>
      </c>
      <c r="E257" s="103">
        <v>136</v>
      </c>
      <c r="F257" s="104">
        <v>2650204</v>
      </c>
      <c r="G257" s="112">
        <f t="shared" si="6"/>
        <v>3.7851037851037939E-2</v>
      </c>
      <c r="I257" s="105">
        <v>44109</v>
      </c>
      <c r="J257" s="85">
        <v>40029.11</v>
      </c>
      <c r="K257" s="85">
        <v>40029.11</v>
      </c>
      <c r="L257" s="85">
        <v>38864.769999999997</v>
      </c>
      <c r="M257" s="85">
        <v>39072.47</v>
      </c>
      <c r="N257" s="114">
        <f t="shared" si="7"/>
        <v>-4.0953389648498484E-2</v>
      </c>
    </row>
    <row r="258" spans="1:14">
      <c r="A258" s="103" t="s">
        <v>1860</v>
      </c>
      <c r="B258" s="103">
        <v>133.44</v>
      </c>
      <c r="C258" s="103">
        <v>134.5</v>
      </c>
      <c r="D258" s="103">
        <v>125.25</v>
      </c>
      <c r="E258" s="103">
        <v>131.04</v>
      </c>
      <c r="F258" s="104">
        <v>3234742</v>
      </c>
      <c r="G258" s="112">
        <f t="shared" si="6"/>
        <v>-2.0700993946640822E-2</v>
      </c>
      <c r="I258" s="105">
        <v>44102</v>
      </c>
      <c r="J258" s="85">
        <v>41723.82</v>
      </c>
      <c r="K258" s="85">
        <v>41785.730000000003</v>
      </c>
      <c r="L258" s="85">
        <v>40640.22</v>
      </c>
      <c r="M258" s="85">
        <v>40740.949999999997</v>
      </c>
      <c r="N258" s="114">
        <f t="shared" si="7"/>
        <v>-3.398244373979975E-2</v>
      </c>
    </row>
    <row r="259" spans="1:14">
      <c r="A259" s="103" t="s">
        <v>1861</v>
      </c>
      <c r="B259" s="103">
        <v>134.49</v>
      </c>
      <c r="C259" s="103">
        <v>134.49</v>
      </c>
      <c r="D259" s="103">
        <v>130.5</v>
      </c>
      <c r="E259" s="103">
        <v>133.81</v>
      </c>
      <c r="F259" s="104">
        <v>2216527</v>
      </c>
      <c r="G259" s="112"/>
      <c r="I259" s="105">
        <v>44095</v>
      </c>
      <c r="J259" s="85">
        <v>42524.17</v>
      </c>
      <c r="K259" s="85">
        <v>42553.23</v>
      </c>
      <c r="L259" s="85">
        <v>42120.88</v>
      </c>
      <c r="M259" s="85">
        <v>42174.13</v>
      </c>
      <c r="N259" s="11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552D-52A5-4F8D-A6A9-C642B5E1B707}">
  <dimension ref="A1:I18"/>
  <sheetViews>
    <sheetView workbookViewId="0">
      <selection activeCell="C8" sqref="C8"/>
    </sheetView>
  </sheetViews>
  <sheetFormatPr defaultRowHeight="14.45"/>
  <sheetData>
    <row r="1" spans="1:9">
      <c r="A1" t="s">
        <v>1581</v>
      </c>
    </row>
    <row r="2" spans="1:9" ht="15" thickBot="1"/>
    <row r="3" spans="1:9">
      <c r="A3" s="109" t="s">
        <v>1582</v>
      </c>
      <c r="B3" s="109"/>
    </row>
    <row r="4" spans="1:9">
      <c r="A4" t="s">
        <v>1583</v>
      </c>
      <c r="B4">
        <v>0.26969171325377811</v>
      </c>
    </row>
    <row r="5" spans="1:9">
      <c r="A5" t="s">
        <v>1584</v>
      </c>
      <c r="B5">
        <v>7.2733620197758087E-2</v>
      </c>
    </row>
    <row r="6" spans="1:9">
      <c r="A6" t="s">
        <v>1585</v>
      </c>
      <c r="B6">
        <v>6.9082965159166579E-2</v>
      </c>
    </row>
    <row r="7" spans="1:9">
      <c r="A7" t="s">
        <v>1586</v>
      </c>
      <c r="B7">
        <v>4.7965553313664963E-2</v>
      </c>
    </row>
    <row r="8" spans="1:9" ht="15" thickBot="1">
      <c r="A8" s="107" t="s">
        <v>1587</v>
      </c>
      <c r="B8" s="107">
        <v>256</v>
      </c>
    </row>
    <row r="10" spans="1:9" ht="15" thickBot="1">
      <c r="A10" t="s">
        <v>1588</v>
      </c>
    </row>
    <row r="11" spans="1:9">
      <c r="A11" s="108"/>
      <c r="B11" s="108" t="s">
        <v>1589</v>
      </c>
      <c r="C11" s="108" t="s">
        <v>1590</v>
      </c>
      <c r="D11" s="108" t="s">
        <v>1591</v>
      </c>
      <c r="E11" s="108" t="s">
        <v>1592</v>
      </c>
      <c r="F11" s="108" t="s">
        <v>1593</v>
      </c>
    </row>
    <row r="12" spans="1:9">
      <c r="A12" t="s">
        <v>1594</v>
      </c>
      <c r="B12">
        <v>1</v>
      </c>
      <c r="C12">
        <v>4.5837753493340627E-2</v>
      </c>
      <c r="D12">
        <v>4.5837753493340627E-2</v>
      </c>
      <c r="E12">
        <v>19.923443718697722</v>
      </c>
      <c r="F12">
        <v>1.2127037514171746E-5</v>
      </c>
    </row>
    <row r="13" spans="1:9">
      <c r="A13" t="s">
        <v>1595</v>
      </c>
      <c r="B13">
        <v>254</v>
      </c>
      <c r="C13">
        <v>0.58437635339025307</v>
      </c>
      <c r="D13">
        <v>2.3006943046860358E-3</v>
      </c>
    </row>
    <row r="14" spans="1:9" ht="15" thickBot="1">
      <c r="A14" s="107" t="s">
        <v>112</v>
      </c>
      <c r="B14" s="107">
        <v>255</v>
      </c>
      <c r="C14" s="107">
        <v>0.63021410688359369</v>
      </c>
      <c r="D14" s="107"/>
      <c r="E14" s="107"/>
      <c r="F14" s="107"/>
    </row>
    <row r="15" spans="1:9" ht="15" thickBot="1"/>
    <row r="16" spans="1:9">
      <c r="A16" s="108"/>
      <c r="B16" s="108" t="s">
        <v>1596</v>
      </c>
      <c r="C16" s="108" t="s">
        <v>1586</v>
      </c>
      <c r="D16" s="108" t="s">
        <v>1597</v>
      </c>
      <c r="E16" s="108" t="s">
        <v>1598</v>
      </c>
      <c r="F16" s="108" t="s">
        <v>1599</v>
      </c>
      <c r="G16" s="108" t="s">
        <v>1600</v>
      </c>
      <c r="H16" s="108" t="s">
        <v>1601</v>
      </c>
      <c r="I16" s="108" t="s">
        <v>1602</v>
      </c>
    </row>
    <row r="17" spans="1:9">
      <c r="A17" t="s">
        <v>1603</v>
      </c>
      <c r="B17">
        <v>8.0676614829347732E-4</v>
      </c>
      <c r="C17">
        <v>3.0683042427352872E-3</v>
      </c>
      <c r="D17">
        <v>0.26293551241003182</v>
      </c>
      <c r="E17">
        <v>0.79281343616807676</v>
      </c>
      <c r="F17">
        <v>-5.2357912647813462E-3</v>
      </c>
      <c r="G17">
        <v>6.8493235613683E-3</v>
      </c>
      <c r="H17">
        <v>-5.2357912647813462E-3</v>
      </c>
      <c r="I17">
        <v>6.8493235613683E-3</v>
      </c>
    </row>
    <row r="18" spans="1:9" ht="15" thickBot="1">
      <c r="A18" s="107" t="s">
        <v>1604</v>
      </c>
      <c r="B18" s="107">
        <v>0.53708808778082795</v>
      </c>
      <c r="C18" s="107">
        <v>0.12032706303471188</v>
      </c>
      <c r="D18" s="107">
        <v>4.4635684960239503</v>
      </c>
      <c r="E18" s="107">
        <v>1.2127037514172918E-5</v>
      </c>
      <c r="F18" s="107">
        <v>0.3001222821716194</v>
      </c>
      <c r="G18" s="107">
        <v>0.7740538933900365</v>
      </c>
      <c r="H18" s="107">
        <v>0.3001222821716194</v>
      </c>
      <c r="I18" s="107">
        <v>0.7740538933900365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DEF0-B8F0-4C55-A98A-9DA1E1E48EBC}">
  <dimension ref="A1:Q259"/>
  <sheetViews>
    <sheetView showGridLines="0" workbookViewId="0">
      <selection activeCell="P14" sqref="P13:Q14"/>
    </sheetView>
  </sheetViews>
  <sheetFormatPr defaultRowHeight="14.45"/>
  <cols>
    <col min="1" max="1" width="13.7109375" style="101" customWidth="1"/>
    <col min="6" max="6" width="10.140625" style="113" bestFit="1" customWidth="1"/>
    <col min="8" max="8" width="10.28515625" bestFit="1" customWidth="1"/>
    <col min="13" max="13" width="8.85546875" style="113"/>
    <col min="16" max="16" width="10.42578125" bestFit="1" customWidth="1"/>
    <col min="17" max="17" width="11.42578125" bestFit="1" customWidth="1"/>
  </cols>
  <sheetData>
    <row r="1" spans="1:17">
      <c r="A1" s="118" t="s">
        <v>420</v>
      </c>
      <c r="B1" s="71"/>
      <c r="C1" s="71"/>
      <c r="D1" s="71"/>
      <c r="E1" s="71"/>
      <c r="F1" s="110"/>
      <c r="H1" s="71" t="s">
        <v>1574</v>
      </c>
      <c r="I1" s="71"/>
      <c r="J1" s="71"/>
      <c r="K1" s="71"/>
      <c r="L1" s="71"/>
      <c r="M1" s="110"/>
    </row>
    <row r="2" spans="1:17" ht="28.9">
      <c r="A2" s="120" t="s">
        <v>399</v>
      </c>
      <c r="B2" s="102" t="s">
        <v>1575</v>
      </c>
      <c r="C2" s="102" t="s">
        <v>1576</v>
      </c>
      <c r="D2" s="102" t="s">
        <v>1577</v>
      </c>
      <c r="E2" s="102" t="s">
        <v>1578</v>
      </c>
      <c r="F2" s="111" t="s">
        <v>1580</v>
      </c>
      <c r="H2" s="115" t="s">
        <v>399</v>
      </c>
      <c r="I2" s="115" t="s">
        <v>1575</v>
      </c>
      <c r="J2" s="115" t="s">
        <v>1576</v>
      </c>
      <c r="K2" s="115" t="s">
        <v>1577</v>
      </c>
      <c r="L2" s="115" t="s">
        <v>1578</v>
      </c>
      <c r="M2" s="116" t="s">
        <v>1862</v>
      </c>
    </row>
    <row r="3" spans="1:17">
      <c r="A3" s="121">
        <v>45898</v>
      </c>
      <c r="B3" s="103">
        <v>249.2</v>
      </c>
      <c r="C3" s="103">
        <v>249.2</v>
      </c>
      <c r="D3" s="103">
        <v>249.2</v>
      </c>
      <c r="E3" s="103">
        <v>249.2</v>
      </c>
      <c r="F3" s="112">
        <f>E3/E4-1</f>
        <v>0.10509977827050987</v>
      </c>
      <c r="H3" s="105">
        <v>45898</v>
      </c>
      <c r="I3" s="85">
        <v>147591.81</v>
      </c>
      <c r="J3" s="85">
        <v>147591.81</v>
      </c>
      <c r="K3" s="85">
        <v>147591.81</v>
      </c>
      <c r="L3" s="85">
        <v>147591.81</v>
      </c>
      <c r="M3" s="114">
        <f>L3/L4-1</f>
        <v>5.8923236289160519E-2</v>
      </c>
      <c r="P3" s="101">
        <v>44073</v>
      </c>
      <c r="Q3" s="101">
        <v>45898</v>
      </c>
    </row>
    <row r="4" spans="1:17">
      <c r="A4" s="121">
        <v>45869</v>
      </c>
      <c r="B4" s="103">
        <v>225.5</v>
      </c>
      <c r="C4" s="103">
        <v>225.5</v>
      </c>
      <c r="D4" s="103">
        <v>225.5</v>
      </c>
      <c r="E4" s="103">
        <v>225.5</v>
      </c>
      <c r="F4" s="112">
        <f t="shared" ref="F4:F61" si="0">E4/E5-1</f>
        <v>0.29597701149425282</v>
      </c>
      <c r="H4" s="105">
        <v>45869</v>
      </c>
      <c r="I4" s="85">
        <v>139379.14000000001</v>
      </c>
      <c r="J4" s="85">
        <v>139379.14000000001</v>
      </c>
      <c r="K4" s="85">
        <v>139379.14000000001</v>
      </c>
      <c r="L4" s="85">
        <v>139379.14000000001</v>
      </c>
      <c r="M4" s="114">
        <f t="shared" ref="M4:M61" si="1">L4/L5-1</f>
        <v>0.11606820629724846</v>
      </c>
      <c r="O4" t="s">
        <v>1574</v>
      </c>
      <c r="P4" s="2">
        <v>41110.93</v>
      </c>
      <c r="Q4" s="2">
        <v>148617.78</v>
      </c>
    </row>
    <row r="5" spans="1:17">
      <c r="A5" s="121">
        <v>45838</v>
      </c>
      <c r="B5" s="103">
        <v>174</v>
      </c>
      <c r="C5" s="103">
        <v>174</v>
      </c>
      <c r="D5" s="103">
        <v>174</v>
      </c>
      <c r="E5" s="103">
        <v>174</v>
      </c>
      <c r="F5" s="112">
        <f t="shared" si="0"/>
        <v>0.12979676644373739</v>
      </c>
      <c r="H5" s="105">
        <v>45838</v>
      </c>
      <c r="I5" s="85">
        <v>124884.07</v>
      </c>
      <c r="J5" s="85">
        <v>124884.07</v>
      </c>
      <c r="K5" s="85">
        <v>124884.07</v>
      </c>
      <c r="L5" s="85">
        <v>124884.07</v>
      </c>
      <c r="M5" s="114">
        <f t="shared" si="1"/>
        <v>4.8223684718558424E-2</v>
      </c>
      <c r="O5" t="s">
        <v>408</v>
      </c>
      <c r="P5" s="58">
        <f>((Q4/P4)^(1/5))-1</f>
        <v>0.29307195832060184</v>
      </c>
    </row>
    <row r="6" spans="1:17">
      <c r="A6" s="121">
        <v>45807</v>
      </c>
      <c r="B6" s="103">
        <v>154.01</v>
      </c>
      <c r="C6" s="103">
        <v>154.01</v>
      </c>
      <c r="D6" s="103">
        <v>154.01</v>
      </c>
      <c r="E6" s="103">
        <v>154.01</v>
      </c>
      <c r="F6" s="112">
        <f t="shared" si="0"/>
        <v>1.3890717577353495E-2</v>
      </c>
      <c r="H6" s="105">
        <v>45807</v>
      </c>
      <c r="I6" s="85">
        <v>119138.76</v>
      </c>
      <c r="J6" s="85">
        <v>119138.76</v>
      </c>
      <c r="K6" s="85">
        <v>119138.76</v>
      </c>
      <c r="L6" s="85">
        <v>119138.76</v>
      </c>
      <c r="M6" s="114">
        <f t="shared" si="1"/>
        <v>4.4471048896902898E-2</v>
      </c>
    </row>
    <row r="7" spans="1:17">
      <c r="A7" s="121">
        <v>45777</v>
      </c>
      <c r="B7" s="103">
        <v>151.9</v>
      </c>
      <c r="C7" s="103">
        <v>151.9</v>
      </c>
      <c r="D7" s="103">
        <v>151.9</v>
      </c>
      <c r="E7" s="103">
        <v>151.9</v>
      </c>
      <c r="F7" s="112">
        <f t="shared" si="0"/>
        <v>-1.3444177437163085E-2</v>
      </c>
      <c r="H7" s="105">
        <v>45777</v>
      </c>
      <c r="I7" s="85">
        <v>114066.12</v>
      </c>
      <c r="J7" s="85">
        <v>114066.12</v>
      </c>
      <c r="K7" s="85">
        <v>114066.12</v>
      </c>
      <c r="L7" s="85">
        <v>114066.12</v>
      </c>
      <c r="M7" s="114">
        <f t="shared" si="1"/>
        <v>-3.3646625920924156E-2</v>
      </c>
      <c r="P7" s="101">
        <v>42244</v>
      </c>
      <c r="Q7" s="101">
        <v>45898</v>
      </c>
    </row>
    <row r="8" spans="1:17">
      <c r="A8" s="121">
        <v>45743</v>
      </c>
      <c r="B8" s="103">
        <v>153.97</v>
      </c>
      <c r="C8" s="103">
        <v>153.97</v>
      </c>
      <c r="D8" s="103">
        <v>153.97</v>
      </c>
      <c r="E8" s="103">
        <v>153.97</v>
      </c>
      <c r="F8" s="112">
        <f t="shared" si="0"/>
        <v>6.3398692810456847E-3</v>
      </c>
      <c r="H8" s="105">
        <v>45743</v>
      </c>
      <c r="I8" s="85">
        <v>118037.69</v>
      </c>
      <c r="J8" s="85">
        <v>118037.69</v>
      </c>
      <c r="K8" s="85">
        <v>118037.69</v>
      </c>
      <c r="L8" s="85">
        <v>118037.69</v>
      </c>
      <c r="M8" s="114">
        <f t="shared" si="1"/>
        <v>3.6412289083908256E-2</v>
      </c>
      <c r="O8" t="s">
        <v>1574</v>
      </c>
      <c r="P8" s="2">
        <v>34447.47</v>
      </c>
      <c r="Q8" s="2">
        <v>148617.78</v>
      </c>
    </row>
    <row r="9" spans="1:17">
      <c r="A9" s="121">
        <v>45716</v>
      </c>
      <c r="B9" s="103">
        <v>153</v>
      </c>
      <c r="C9" s="103">
        <v>153</v>
      </c>
      <c r="D9" s="103">
        <v>153</v>
      </c>
      <c r="E9" s="103">
        <v>153</v>
      </c>
      <c r="F9" s="112">
        <f t="shared" si="0"/>
        <v>-0.11647514003580295</v>
      </c>
      <c r="H9" s="105">
        <v>45716</v>
      </c>
      <c r="I9" s="85">
        <v>113890.67</v>
      </c>
      <c r="J9" s="85">
        <v>113890.67</v>
      </c>
      <c r="K9" s="85">
        <v>113890.67</v>
      </c>
      <c r="L9" s="85">
        <v>113890.67</v>
      </c>
      <c r="M9" s="114">
        <f t="shared" si="1"/>
        <v>1.2719569278880627E-3</v>
      </c>
      <c r="O9" t="s">
        <v>408</v>
      </c>
      <c r="P9" s="58">
        <f>((Q8/P8)^(1/10))-1</f>
        <v>0.15742096285919249</v>
      </c>
    </row>
    <row r="10" spans="1:17">
      <c r="A10" s="121">
        <v>45688</v>
      </c>
      <c r="B10" s="103">
        <v>173.17</v>
      </c>
      <c r="C10" s="103">
        <v>173.17</v>
      </c>
      <c r="D10" s="103">
        <v>173.17</v>
      </c>
      <c r="E10" s="103">
        <v>173.17</v>
      </c>
      <c r="F10" s="112">
        <f t="shared" si="0"/>
        <v>3.4660042747369779E-4</v>
      </c>
      <c r="H10" s="105">
        <v>45688</v>
      </c>
      <c r="I10" s="85">
        <v>113745.99</v>
      </c>
      <c r="J10" s="85">
        <v>113745.99</v>
      </c>
      <c r="K10" s="85">
        <v>113745.99</v>
      </c>
      <c r="L10" s="85">
        <v>113745.99</v>
      </c>
      <c r="M10" s="114">
        <f t="shared" si="1"/>
        <v>-2.5313020511907314E-2</v>
      </c>
    </row>
    <row r="11" spans="1:17">
      <c r="A11" s="121">
        <v>45657</v>
      </c>
      <c r="B11" s="103">
        <v>173.11</v>
      </c>
      <c r="C11" s="103">
        <v>173.11</v>
      </c>
      <c r="D11" s="103">
        <v>173.11</v>
      </c>
      <c r="E11" s="103">
        <v>173.11</v>
      </c>
      <c r="F11" s="112">
        <f t="shared" si="0"/>
        <v>-2.7471910112359499E-2</v>
      </c>
      <c r="H11" s="105">
        <v>45657</v>
      </c>
      <c r="I11" s="85">
        <v>116700.02</v>
      </c>
      <c r="J11" s="85">
        <v>116700.02</v>
      </c>
      <c r="K11" s="85">
        <v>116700.02</v>
      </c>
      <c r="L11" s="85">
        <v>116700.02</v>
      </c>
      <c r="M11" s="114">
        <f t="shared" si="1"/>
        <v>0.16242999025033189</v>
      </c>
    </row>
    <row r="12" spans="1:17">
      <c r="A12" s="121">
        <v>45625</v>
      </c>
      <c r="B12" s="103">
        <v>178</v>
      </c>
      <c r="C12" s="103">
        <v>178</v>
      </c>
      <c r="D12" s="103">
        <v>178</v>
      </c>
      <c r="E12" s="103">
        <v>178</v>
      </c>
      <c r="F12" s="112">
        <f t="shared" si="0"/>
        <v>0.2992700729927007</v>
      </c>
      <c r="H12" s="105">
        <v>45625</v>
      </c>
      <c r="I12" s="85">
        <v>100393.16</v>
      </c>
      <c r="J12" s="85">
        <v>100393.16</v>
      </c>
      <c r="K12" s="85">
        <v>100393.16</v>
      </c>
      <c r="L12" s="85">
        <v>100393.16</v>
      </c>
      <c r="M12" s="114">
        <f t="shared" si="1"/>
        <v>0.10981739054205342</v>
      </c>
      <c r="P12" s="101">
        <v>42244</v>
      </c>
      <c r="Q12" s="101">
        <v>44073</v>
      </c>
    </row>
    <row r="13" spans="1:17">
      <c r="A13" s="121">
        <v>45596</v>
      </c>
      <c r="B13" s="103">
        <v>137</v>
      </c>
      <c r="C13" s="103">
        <v>137</v>
      </c>
      <c r="D13" s="103">
        <v>137</v>
      </c>
      <c r="E13" s="103">
        <v>137</v>
      </c>
      <c r="F13" s="112">
        <f t="shared" si="0"/>
        <v>6.6147859922178975E-2</v>
      </c>
      <c r="H13" s="105">
        <v>45596</v>
      </c>
      <c r="I13" s="85">
        <v>90459.17</v>
      </c>
      <c r="J13" s="85">
        <v>90459.17</v>
      </c>
      <c r="K13" s="85">
        <v>90459.17</v>
      </c>
      <c r="L13" s="85">
        <v>90459.17</v>
      </c>
      <c r="M13" s="114">
        <f t="shared" si="1"/>
        <v>0.11305485296860818</v>
      </c>
      <c r="O13" t="s">
        <v>1574</v>
      </c>
      <c r="P13" s="2">
        <v>34447.47</v>
      </c>
      <c r="Q13" s="2">
        <v>41110.93</v>
      </c>
    </row>
    <row r="14" spans="1:17">
      <c r="A14" s="121">
        <v>45565</v>
      </c>
      <c r="B14" s="103">
        <v>128.5</v>
      </c>
      <c r="C14" s="103">
        <v>128.5</v>
      </c>
      <c r="D14" s="103">
        <v>128.5</v>
      </c>
      <c r="E14" s="103">
        <v>128.5</v>
      </c>
      <c r="F14" s="112">
        <f t="shared" si="0"/>
        <v>1.3566808644896566E-2</v>
      </c>
      <c r="H14" s="105">
        <v>45565</v>
      </c>
      <c r="I14" s="85">
        <v>81271.08</v>
      </c>
      <c r="J14" s="85">
        <v>81271.08</v>
      </c>
      <c r="K14" s="85">
        <v>81271.08</v>
      </c>
      <c r="L14" s="85">
        <v>81271.08</v>
      </c>
      <c r="M14" s="114">
        <f t="shared" si="1"/>
        <v>3.4614900369831503E-2</v>
      </c>
      <c r="O14" t="s">
        <v>408</v>
      </c>
      <c r="P14" s="58">
        <f>((Q13/P13)^(1/10))-1</f>
        <v>1.7841131774463781E-2</v>
      </c>
    </row>
    <row r="15" spans="1:17">
      <c r="A15" s="121">
        <v>45534</v>
      </c>
      <c r="B15" s="103">
        <v>126.78</v>
      </c>
      <c r="C15" s="103">
        <v>126.78</v>
      </c>
      <c r="D15" s="103">
        <v>126.78</v>
      </c>
      <c r="E15" s="103">
        <v>126.78</v>
      </c>
      <c r="F15" s="112">
        <f t="shared" si="0"/>
        <v>-5.1260944398712871E-2</v>
      </c>
      <c r="H15" s="105">
        <v>45534</v>
      </c>
      <c r="I15" s="85">
        <v>78552.009999999995</v>
      </c>
      <c r="J15" s="85">
        <v>78552.009999999995</v>
      </c>
      <c r="K15" s="85">
        <v>78552.009999999995</v>
      </c>
      <c r="L15" s="85">
        <v>78552.009999999995</v>
      </c>
      <c r="M15" s="114">
        <f t="shared" si="1"/>
        <v>-2.2095634019579924E-3</v>
      </c>
    </row>
    <row r="16" spans="1:17">
      <c r="A16" s="121">
        <v>45504</v>
      </c>
      <c r="B16" s="103">
        <v>133.63</v>
      </c>
      <c r="C16" s="103">
        <v>133.63</v>
      </c>
      <c r="D16" s="103">
        <v>133.63</v>
      </c>
      <c r="E16" s="103">
        <v>133.63</v>
      </c>
      <c r="F16" s="112">
        <f t="shared" si="0"/>
        <v>7.247191011235965E-2</v>
      </c>
      <c r="H16" s="105">
        <v>45504</v>
      </c>
      <c r="I16" s="85">
        <v>78725.960000000006</v>
      </c>
      <c r="J16" s="85">
        <v>78725.960000000006</v>
      </c>
      <c r="K16" s="85">
        <v>78725.960000000006</v>
      </c>
      <c r="L16" s="85">
        <v>78725.960000000006</v>
      </c>
      <c r="M16" s="114">
        <f t="shared" si="1"/>
        <v>3.493079344492056E-4</v>
      </c>
    </row>
    <row r="17" spans="1:13">
      <c r="A17" s="121">
        <v>45471</v>
      </c>
      <c r="B17" s="103">
        <v>124.6</v>
      </c>
      <c r="C17" s="103">
        <v>124.6</v>
      </c>
      <c r="D17" s="103">
        <v>124.6</v>
      </c>
      <c r="E17" s="103">
        <v>124.6</v>
      </c>
      <c r="F17" s="112">
        <f t="shared" si="0"/>
        <v>9.2982456140350722E-2</v>
      </c>
      <c r="H17" s="105">
        <v>45471</v>
      </c>
      <c r="I17" s="85">
        <v>78698.47</v>
      </c>
      <c r="J17" s="85">
        <v>78698.47</v>
      </c>
      <c r="K17" s="85">
        <v>78698.47</v>
      </c>
      <c r="L17" s="85">
        <v>78698.47</v>
      </c>
      <c r="M17" s="114">
        <f t="shared" si="1"/>
        <v>4.821677810790681E-2</v>
      </c>
    </row>
    <row r="18" spans="1:13">
      <c r="A18" s="121">
        <v>45443</v>
      </c>
      <c r="B18" s="103">
        <v>114</v>
      </c>
      <c r="C18" s="103">
        <v>114</v>
      </c>
      <c r="D18" s="103">
        <v>114</v>
      </c>
      <c r="E18" s="103">
        <v>114</v>
      </c>
      <c r="F18" s="112">
        <f t="shared" si="0"/>
        <v>-2.5141097998973794E-2</v>
      </c>
      <c r="H18" s="105">
        <v>45443</v>
      </c>
      <c r="I18" s="85">
        <v>75078.429999999993</v>
      </c>
      <c r="J18" s="85">
        <v>75078.429999999993</v>
      </c>
      <c r="K18" s="85">
        <v>75078.429999999993</v>
      </c>
      <c r="L18" s="85">
        <v>75078.429999999993</v>
      </c>
      <c r="M18" s="114">
        <f t="shared" si="1"/>
        <v>4.5938093602829078E-2</v>
      </c>
    </row>
    <row r="19" spans="1:13">
      <c r="A19" s="121">
        <v>45412</v>
      </c>
      <c r="B19" s="103">
        <v>116.94</v>
      </c>
      <c r="C19" s="103">
        <v>116.94</v>
      </c>
      <c r="D19" s="103">
        <v>116.94</v>
      </c>
      <c r="E19" s="103">
        <v>116.94</v>
      </c>
      <c r="F19" s="112">
        <f t="shared" si="0"/>
        <v>0.10372817366682385</v>
      </c>
      <c r="H19" s="105">
        <v>45412</v>
      </c>
      <c r="I19" s="85">
        <v>71780.95</v>
      </c>
      <c r="J19" s="85">
        <v>71780.95</v>
      </c>
      <c r="K19" s="85">
        <v>71780.95</v>
      </c>
      <c r="L19" s="85">
        <v>71780.95</v>
      </c>
      <c r="M19" s="114">
        <f t="shared" si="1"/>
        <v>6.7657313013704812E-2</v>
      </c>
    </row>
    <row r="20" spans="1:13">
      <c r="A20" s="121">
        <v>45380</v>
      </c>
      <c r="B20" s="103">
        <v>105.95</v>
      </c>
      <c r="C20" s="103">
        <v>105.95</v>
      </c>
      <c r="D20" s="103">
        <v>105.95</v>
      </c>
      <c r="E20" s="103">
        <v>105.95</v>
      </c>
      <c r="F20" s="112">
        <f t="shared" si="0"/>
        <v>-7.8695652173913055E-2</v>
      </c>
      <c r="H20" s="105">
        <v>45380</v>
      </c>
      <c r="I20" s="85">
        <v>67232.2</v>
      </c>
      <c r="J20" s="85">
        <v>67232.2</v>
      </c>
      <c r="K20" s="85">
        <v>67232.2</v>
      </c>
      <c r="L20" s="85">
        <v>67232.2</v>
      </c>
      <c r="M20" s="114">
        <f t="shared" si="1"/>
        <v>5.3346337183569625E-2</v>
      </c>
    </row>
    <row r="21" spans="1:13">
      <c r="A21" s="121">
        <v>45351</v>
      </c>
      <c r="B21" s="103">
        <v>115</v>
      </c>
      <c r="C21" s="103">
        <v>115</v>
      </c>
      <c r="D21" s="103">
        <v>115</v>
      </c>
      <c r="E21" s="103">
        <v>115</v>
      </c>
      <c r="F21" s="112">
        <f t="shared" si="0"/>
        <v>2.9543419874664245E-2</v>
      </c>
      <c r="H21" s="105">
        <v>45351</v>
      </c>
      <c r="I21" s="85">
        <v>63827.25</v>
      </c>
      <c r="J21" s="85">
        <v>63827.25</v>
      </c>
      <c r="K21" s="85">
        <v>63827.25</v>
      </c>
      <c r="L21" s="85">
        <v>63827.25</v>
      </c>
      <c r="M21" s="114">
        <f t="shared" si="1"/>
        <v>2.8264061468449508E-2</v>
      </c>
    </row>
    <row r="22" spans="1:13">
      <c r="A22" s="121">
        <v>45322</v>
      </c>
      <c r="B22" s="103">
        <v>111.7</v>
      </c>
      <c r="C22" s="103">
        <v>111.7</v>
      </c>
      <c r="D22" s="103">
        <v>111.7</v>
      </c>
      <c r="E22" s="103">
        <v>111.7</v>
      </c>
      <c r="F22" s="112">
        <f t="shared" si="0"/>
        <v>6.2156562471848975E-3</v>
      </c>
      <c r="H22" s="105">
        <v>45322</v>
      </c>
      <c r="I22" s="85">
        <v>62072.82</v>
      </c>
      <c r="J22" s="85">
        <v>62072.82</v>
      </c>
      <c r="K22" s="85">
        <v>62072.82</v>
      </c>
      <c r="L22" s="85">
        <v>62072.82</v>
      </c>
      <c r="M22" s="114">
        <f t="shared" si="1"/>
        <v>-2.450931156170677E-3</v>
      </c>
    </row>
    <row r="23" spans="1:13">
      <c r="A23" s="121">
        <v>45289</v>
      </c>
      <c r="B23" s="103">
        <v>111.01</v>
      </c>
      <c r="C23" s="103">
        <v>111.01</v>
      </c>
      <c r="D23" s="103">
        <v>111.01</v>
      </c>
      <c r="E23" s="103">
        <v>111.01</v>
      </c>
      <c r="F23" s="112">
        <f t="shared" si="0"/>
        <v>-1.7436714462736758E-2</v>
      </c>
      <c r="H23" s="105">
        <v>45289</v>
      </c>
      <c r="I23" s="85">
        <v>62225.33</v>
      </c>
      <c r="J23" s="85">
        <v>62225.33</v>
      </c>
      <c r="K23" s="85">
        <v>62225.33</v>
      </c>
      <c r="L23" s="85">
        <v>62225.33</v>
      </c>
      <c r="M23" s="114">
        <f t="shared" si="1"/>
        <v>2.3646646783323622E-2</v>
      </c>
    </row>
    <row r="24" spans="1:13">
      <c r="A24" s="121">
        <v>45260</v>
      </c>
      <c r="B24" s="103">
        <v>112.98</v>
      </c>
      <c r="C24" s="103">
        <v>112.98</v>
      </c>
      <c r="D24" s="103">
        <v>112.98</v>
      </c>
      <c r="E24" s="103">
        <v>112.98</v>
      </c>
      <c r="F24" s="112">
        <f t="shared" si="0"/>
        <v>0.1974562798092212</v>
      </c>
      <c r="H24" s="105">
        <v>45260</v>
      </c>
      <c r="I24" s="85">
        <v>60787.9</v>
      </c>
      <c r="J24" s="85">
        <v>60787.9</v>
      </c>
      <c r="K24" s="85">
        <v>60787.9</v>
      </c>
      <c r="L24" s="85">
        <v>60787.9</v>
      </c>
      <c r="M24" s="114">
        <f t="shared" si="1"/>
        <v>0.17730714852904161</v>
      </c>
    </row>
    <row r="25" spans="1:13">
      <c r="A25" s="121">
        <v>45230</v>
      </c>
      <c r="B25" s="103">
        <v>94.35</v>
      </c>
      <c r="C25" s="103">
        <v>94.35</v>
      </c>
      <c r="D25" s="103">
        <v>94.35</v>
      </c>
      <c r="E25" s="103">
        <v>94.35</v>
      </c>
      <c r="F25" s="112">
        <f t="shared" si="0"/>
        <v>3.7041107935809947E-2</v>
      </c>
      <c r="H25" s="105">
        <v>45230</v>
      </c>
      <c r="I25" s="85">
        <v>51633</v>
      </c>
      <c r="J25" s="85">
        <v>51633</v>
      </c>
      <c r="K25" s="85">
        <v>51633</v>
      </c>
      <c r="L25" s="85">
        <v>51633</v>
      </c>
      <c r="M25" s="114">
        <f t="shared" si="1"/>
        <v>0.11124048166882572</v>
      </c>
    </row>
    <row r="26" spans="1:13">
      <c r="A26" s="121">
        <v>45197</v>
      </c>
      <c r="B26" s="103">
        <v>90.98</v>
      </c>
      <c r="C26" s="103">
        <v>90.98</v>
      </c>
      <c r="D26" s="103">
        <v>90.98</v>
      </c>
      <c r="E26" s="103">
        <v>90.98</v>
      </c>
      <c r="F26" s="112">
        <f t="shared" si="0"/>
        <v>-8.1010101010100977E-2</v>
      </c>
      <c r="H26" s="105">
        <v>45197</v>
      </c>
      <c r="I26" s="85">
        <v>46464.29</v>
      </c>
      <c r="J26" s="85">
        <v>46464.29</v>
      </c>
      <c r="K26" s="85">
        <v>46464.29</v>
      </c>
      <c r="L26" s="85">
        <v>46464.29</v>
      </c>
      <c r="M26" s="114">
        <f t="shared" si="1"/>
        <v>3.836088658671688E-3</v>
      </c>
    </row>
    <row r="27" spans="1:13">
      <c r="A27" s="121">
        <v>45169</v>
      </c>
      <c r="B27" s="103">
        <v>99</v>
      </c>
      <c r="C27" s="103">
        <v>99</v>
      </c>
      <c r="D27" s="103">
        <v>99</v>
      </c>
      <c r="E27" s="103">
        <v>99</v>
      </c>
      <c r="F27" s="112">
        <f t="shared" si="0"/>
        <v>8.1967213114754189E-2</v>
      </c>
      <c r="H27" s="105">
        <v>45169</v>
      </c>
      <c r="I27" s="85">
        <v>46286.73</v>
      </c>
      <c r="J27" s="85">
        <v>46286.73</v>
      </c>
      <c r="K27" s="85">
        <v>46286.73</v>
      </c>
      <c r="L27" s="85">
        <v>46286.73</v>
      </c>
      <c r="M27" s="114">
        <f t="shared" si="1"/>
        <v>-2.2920662476616172E-2</v>
      </c>
    </row>
    <row r="28" spans="1:13">
      <c r="A28" s="121">
        <v>45138</v>
      </c>
      <c r="B28" s="103">
        <v>91.5</v>
      </c>
      <c r="C28" s="103">
        <v>91.5</v>
      </c>
      <c r="D28" s="103">
        <v>91.5</v>
      </c>
      <c r="E28" s="103">
        <v>91.5</v>
      </c>
      <c r="F28" s="112">
        <f t="shared" si="0"/>
        <v>0.30938752146536919</v>
      </c>
      <c r="H28" s="105">
        <v>45138</v>
      </c>
      <c r="I28" s="85">
        <v>47372.54</v>
      </c>
      <c r="J28" s="85">
        <v>47372.54</v>
      </c>
      <c r="K28" s="85">
        <v>47372.54</v>
      </c>
      <c r="L28" s="85">
        <v>47372.54</v>
      </c>
      <c r="M28" s="114">
        <f t="shared" si="1"/>
        <v>0.14338434238771813</v>
      </c>
    </row>
    <row r="29" spans="1:13">
      <c r="A29" s="121">
        <v>45104</v>
      </c>
      <c r="B29" s="103">
        <v>69.88</v>
      </c>
      <c r="C29" s="103">
        <v>69.88</v>
      </c>
      <c r="D29" s="103">
        <v>69.88</v>
      </c>
      <c r="E29" s="103">
        <v>69.88</v>
      </c>
      <c r="F29" s="112">
        <f t="shared" si="0"/>
        <v>-4.535519125683074E-2</v>
      </c>
      <c r="H29" s="105">
        <v>45104</v>
      </c>
      <c r="I29" s="85">
        <v>41431.86</v>
      </c>
      <c r="J29" s="85">
        <v>41431.86</v>
      </c>
      <c r="K29" s="85">
        <v>41431.86</v>
      </c>
      <c r="L29" s="85">
        <v>41431.86</v>
      </c>
      <c r="M29" s="114">
        <f t="shared" si="1"/>
        <v>-7.3036457850395031E-3</v>
      </c>
    </row>
    <row r="30" spans="1:13">
      <c r="A30" s="121">
        <v>45077</v>
      </c>
      <c r="B30" s="103">
        <v>73.2</v>
      </c>
      <c r="C30" s="103">
        <v>73.2</v>
      </c>
      <c r="D30" s="103">
        <v>73.2</v>
      </c>
      <c r="E30" s="103">
        <v>73.2</v>
      </c>
      <c r="F30" s="112">
        <f t="shared" si="0"/>
        <v>-2.1390374331550777E-2</v>
      </c>
      <c r="H30" s="105">
        <v>45077</v>
      </c>
      <c r="I30" s="85">
        <v>41736.69</v>
      </c>
      <c r="J30" s="85">
        <v>41736.69</v>
      </c>
      <c r="K30" s="85">
        <v>41736.69</v>
      </c>
      <c r="L30" s="85">
        <v>41736.69</v>
      </c>
      <c r="M30" s="114">
        <f t="shared" si="1"/>
        <v>4.6104057874385429E-3</v>
      </c>
    </row>
    <row r="31" spans="1:13">
      <c r="A31" s="121">
        <v>45044</v>
      </c>
      <c r="B31" s="103">
        <v>74.8</v>
      </c>
      <c r="C31" s="103">
        <v>74.8</v>
      </c>
      <c r="D31" s="103">
        <v>74.8</v>
      </c>
      <c r="E31" s="103">
        <v>74.8</v>
      </c>
      <c r="F31" s="112">
        <f t="shared" si="0"/>
        <v>1.4237288135593218E-2</v>
      </c>
      <c r="H31" s="105">
        <v>45044</v>
      </c>
      <c r="I31" s="85">
        <v>41545.15</v>
      </c>
      <c r="J31" s="85">
        <v>41545.15</v>
      </c>
      <c r="K31" s="85">
        <v>41545.15</v>
      </c>
      <c r="L31" s="85">
        <v>41545.15</v>
      </c>
      <c r="M31" s="114">
        <f t="shared" si="1"/>
        <v>4.1201037162309495E-2</v>
      </c>
    </row>
    <row r="32" spans="1:13">
      <c r="A32" s="121">
        <v>45016</v>
      </c>
      <c r="B32" s="103">
        <v>73.75</v>
      </c>
      <c r="C32" s="103">
        <v>73.75</v>
      </c>
      <c r="D32" s="103">
        <v>73.75</v>
      </c>
      <c r="E32" s="103">
        <v>73.75</v>
      </c>
      <c r="F32" s="112">
        <f t="shared" si="0"/>
        <v>4.6099290780141855E-2</v>
      </c>
      <c r="H32" s="105">
        <v>45016</v>
      </c>
      <c r="I32" s="85">
        <v>39901.18</v>
      </c>
      <c r="J32" s="85">
        <v>39901.18</v>
      </c>
      <c r="K32" s="85">
        <v>39901.18</v>
      </c>
      <c r="L32" s="85">
        <v>39901.18</v>
      </c>
      <c r="M32" s="114">
        <f t="shared" si="1"/>
        <v>-2.3342166236444029E-2</v>
      </c>
    </row>
    <row r="33" spans="1:13">
      <c r="A33" s="121">
        <v>44985</v>
      </c>
      <c r="B33" s="103">
        <v>70.5</v>
      </c>
      <c r="C33" s="103">
        <v>70.5</v>
      </c>
      <c r="D33" s="103">
        <v>70.5</v>
      </c>
      <c r="E33" s="103">
        <v>70.5</v>
      </c>
      <c r="F33" s="112">
        <f t="shared" si="0"/>
        <v>-4.2769857433808678E-2</v>
      </c>
      <c r="H33" s="105">
        <v>44985</v>
      </c>
      <c r="I33" s="85">
        <v>40854.82</v>
      </c>
      <c r="J33" s="85">
        <v>40854.82</v>
      </c>
      <c r="K33" s="85">
        <v>40854.82</v>
      </c>
      <c r="L33" s="85">
        <v>40854.82</v>
      </c>
      <c r="M33" s="114">
        <f t="shared" si="1"/>
        <v>1.9244356272814844E-2</v>
      </c>
    </row>
    <row r="34" spans="1:13">
      <c r="A34" s="121">
        <v>44957</v>
      </c>
      <c r="B34" s="103">
        <v>73.650000000000006</v>
      </c>
      <c r="C34" s="103">
        <v>73.650000000000006</v>
      </c>
      <c r="D34" s="103">
        <v>73.650000000000006</v>
      </c>
      <c r="E34" s="103">
        <v>73.650000000000006</v>
      </c>
      <c r="F34" s="112">
        <f t="shared" si="0"/>
        <v>0.22058336095459063</v>
      </c>
      <c r="H34" s="105">
        <v>44957</v>
      </c>
      <c r="I34" s="85">
        <v>40083.440000000002</v>
      </c>
      <c r="J34" s="85">
        <v>40083.440000000002</v>
      </c>
      <c r="K34" s="85">
        <v>40083.440000000002</v>
      </c>
      <c r="L34" s="85">
        <v>40083.440000000002</v>
      </c>
      <c r="M34" s="114">
        <f t="shared" si="1"/>
        <v>7.8374765191255857E-3</v>
      </c>
    </row>
    <row r="35" spans="1:13">
      <c r="A35" s="121">
        <v>44925</v>
      </c>
      <c r="B35" s="103">
        <v>60.34</v>
      </c>
      <c r="C35" s="103">
        <v>60.34</v>
      </c>
      <c r="D35" s="103">
        <v>60.34</v>
      </c>
      <c r="E35" s="103">
        <v>60.34</v>
      </c>
      <c r="F35" s="112">
        <f t="shared" si="0"/>
        <v>-0.11899547379179432</v>
      </c>
      <c r="H35" s="105">
        <v>44925</v>
      </c>
      <c r="I35" s="85">
        <v>39771.730000000003</v>
      </c>
      <c r="J35" s="85">
        <v>39771.730000000003</v>
      </c>
      <c r="K35" s="85">
        <v>39771.730000000003</v>
      </c>
      <c r="L35" s="85">
        <v>39771.730000000003</v>
      </c>
      <c r="M35" s="114">
        <f t="shared" si="1"/>
        <v>-6.2159363720374672E-2</v>
      </c>
    </row>
    <row r="36" spans="1:13">
      <c r="A36" s="121">
        <v>44895</v>
      </c>
      <c r="B36" s="103">
        <v>68.489999999999995</v>
      </c>
      <c r="C36" s="103">
        <v>68.489999999999995</v>
      </c>
      <c r="D36" s="103">
        <v>68.489999999999995</v>
      </c>
      <c r="E36" s="103">
        <v>68.489999999999995</v>
      </c>
      <c r="F36" s="112">
        <f t="shared" si="0"/>
        <v>-1.4532374100719503E-2</v>
      </c>
      <c r="H36" s="105">
        <v>44895</v>
      </c>
      <c r="I36" s="85">
        <v>42407.77</v>
      </c>
      <c r="J36" s="85">
        <v>42407.77</v>
      </c>
      <c r="K36" s="85">
        <v>42407.77</v>
      </c>
      <c r="L36" s="85">
        <v>42407.77</v>
      </c>
      <c r="M36" s="114">
        <f t="shared" si="1"/>
        <v>2.9897497831904207E-2</v>
      </c>
    </row>
    <row r="37" spans="1:13">
      <c r="A37" s="121">
        <v>44865</v>
      </c>
      <c r="B37" s="103">
        <v>69.5</v>
      </c>
      <c r="C37" s="103">
        <v>69.5</v>
      </c>
      <c r="D37" s="103">
        <v>69.5</v>
      </c>
      <c r="E37" s="103">
        <v>69.5</v>
      </c>
      <c r="F37" s="112">
        <f t="shared" si="0"/>
        <v>-3.0124802754266655E-3</v>
      </c>
      <c r="H37" s="105">
        <v>44865</v>
      </c>
      <c r="I37" s="85">
        <v>41176.69</v>
      </c>
      <c r="J37" s="85">
        <v>41176.69</v>
      </c>
      <c r="K37" s="85">
        <v>41176.69</v>
      </c>
      <c r="L37" s="85">
        <v>41176.69</v>
      </c>
      <c r="M37" s="114">
        <f t="shared" si="1"/>
        <v>8.0888619260157668E-3</v>
      </c>
    </row>
    <row r="38" spans="1:13">
      <c r="A38" s="121">
        <v>44834</v>
      </c>
      <c r="B38" s="103">
        <v>69.709999999999994</v>
      </c>
      <c r="C38" s="103">
        <v>69.709999999999994</v>
      </c>
      <c r="D38" s="103">
        <v>69.709999999999994</v>
      </c>
      <c r="E38" s="103">
        <v>69.709999999999994</v>
      </c>
      <c r="F38" s="112">
        <f t="shared" si="0"/>
        <v>-0.24220023915643007</v>
      </c>
      <c r="H38" s="105">
        <v>44834</v>
      </c>
      <c r="I38" s="85">
        <v>40846.29</v>
      </c>
      <c r="J38" s="85">
        <v>40846.29</v>
      </c>
      <c r="K38" s="85">
        <v>40846.29</v>
      </c>
      <c r="L38" s="85">
        <v>40846.29</v>
      </c>
      <c r="M38" s="114">
        <f t="shared" si="1"/>
        <v>-3.2094032608005363E-2</v>
      </c>
    </row>
    <row r="39" spans="1:13">
      <c r="A39" s="121">
        <v>44804</v>
      </c>
      <c r="B39" s="103">
        <v>91.99</v>
      </c>
      <c r="C39" s="103">
        <v>91.99</v>
      </c>
      <c r="D39" s="103">
        <v>91.99</v>
      </c>
      <c r="E39" s="103">
        <v>91.99</v>
      </c>
      <c r="F39" s="112">
        <f t="shared" si="0"/>
        <v>5.8573072497122958E-2</v>
      </c>
      <c r="H39" s="105">
        <v>44804</v>
      </c>
      <c r="I39" s="85">
        <v>42200.68</v>
      </c>
      <c r="J39" s="85">
        <v>42200.68</v>
      </c>
      <c r="K39" s="85">
        <v>42200.68</v>
      </c>
      <c r="L39" s="85">
        <v>42200.68</v>
      </c>
      <c r="M39" s="114">
        <f t="shared" si="1"/>
        <v>4.968251346656305E-2</v>
      </c>
    </row>
    <row r="40" spans="1:13">
      <c r="A40" s="121">
        <v>44771</v>
      </c>
      <c r="B40" s="103">
        <v>86.9</v>
      </c>
      <c r="C40" s="103">
        <v>86.9</v>
      </c>
      <c r="D40" s="103">
        <v>86.9</v>
      </c>
      <c r="E40" s="103">
        <v>86.9</v>
      </c>
      <c r="F40" s="112">
        <f t="shared" si="0"/>
        <v>-3.3370411568409364E-2</v>
      </c>
      <c r="H40" s="105">
        <v>44771</v>
      </c>
      <c r="I40" s="85">
        <v>40203.279999999999</v>
      </c>
      <c r="J40" s="85">
        <v>40203.279999999999</v>
      </c>
      <c r="K40" s="85">
        <v>40203.279999999999</v>
      </c>
      <c r="L40" s="85">
        <v>40203.279999999999</v>
      </c>
      <c r="M40" s="114">
        <f t="shared" si="1"/>
        <v>-2.6502870976873094E-2</v>
      </c>
    </row>
    <row r="41" spans="1:13">
      <c r="A41" s="121">
        <v>44742</v>
      </c>
      <c r="B41" s="103">
        <v>89.9</v>
      </c>
      <c r="C41" s="103">
        <v>89.9</v>
      </c>
      <c r="D41" s="103">
        <v>89.9</v>
      </c>
      <c r="E41" s="103">
        <v>89.9</v>
      </c>
      <c r="F41" s="112">
        <f t="shared" si="0"/>
        <v>-0.14282990083905411</v>
      </c>
      <c r="H41" s="105">
        <v>44742</v>
      </c>
      <c r="I41" s="85">
        <v>41297.79</v>
      </c>
      <c r="J41" s="85">
        <v>41297.79</v>
      </c>
      <c r="K41" s="85">
        <v>41297.79</v>
      </c>
      <c r="L41" s="85">
        <v>41297.79</v>
      </c>
      <c r="M41" s="114">
        <f t="shared" si="1"/>
        <v>-4.5143102096080745E-2</v>
      </c>
    </row>
    <row r="42" spans="1:13">
      <c r="A42" s="121">
        <v>44712</v>
      </c>
      <c r="B42" s="103">
        <v>104.88</v>
      </c>
      <c r="C42" s="103">
        <v>104.88</v>
      </c>
      <c r="D42" s="103">
        <v>104.88</v>
      </c>
      <c r="E42" s="103">
        <v>104.88</v>
      </c>
      <c r="F42" s="112">
        <f t="shared" si="0"/>
        <v>-5.9372197309417118E-2</v>
      </c>
      <c r="H42" s="105">
        <v>44712</v>
      </c>
      <c r="I42" s="85">
        <v>43250.239999999998</v>
      </c>
      <c r="J42" s="85">
        <v>43250.239999999998</v>
      </c>
      <c r="K42" s="85">
        <v>43250.239999999998</v>
      </c>
      <c r="L42" s="85">
        <v>43250.239999999998</v>
      </c>
      <c r="M42" s="114">
        <f t="shared" si="1"/>
        <v>-4.8424474694722108E-2</v>
      </c>
    </row>
    <row r="43" spans="1:13">
      <c r="A43" s="121">
        <v>44679</v>
      </c>
      <c r="B43" s="103">
        <v>111.5</v>
      </c>
      <c r="C43" s="103">
        <v>111.5</v>
      </c>
      <c r="D43" s="103">
        <v>111.5</v>
      </c>
      <c r="E43" s="103">
        <v>111.5</v>
      </c>
      <c r="F43" s="112">
        <f t="shared" si="0"/>
        <v>-2.1844021405386438E-2</v>
      </c>
      <c r="H43" s="105">
        <v>44679</v>
      </c>
      <c r="I43" s="85">
        <v>45451.19</v>
      </c>
      <c r="J43" s="85">
        <v>45451.19</v>
      </c>
      <c r="K43" s="85">
        <v>45451.19</v>
      </c>
      <c r="L43" s="85">
        <v>45451.19</v>
      </c>
      <c r="M43" s="114">
        <f t="shared" si="1"/>
        <v>2.4269711436184727E-2</v>
      </c>
    </row>
    <row r="44" spans="1:13">
      <c r="A44" s="121">
        <v>44651</v>
      </c>
      <c r="B44" s="103">
        <v>113.99</v>
      </c>
      <c r="C44" s="103">
        <v>113.99</v>
      </c>
      <c r="D44" s="103">
        <v>113.99</v>
      </c>
      <c r="E44" s="103">
        <v>113.99</v>
      </c>
      <c r="F44" s="112">
        <f t="shared" si="0"/>
        <v>-2.9128694319052961E-2</v>
      </c>
      <c r="H44" s="105">
        <v>44651</v>
      </c>
      <c r="I44" s="85">
        <v>44374.239999999998</v>
      </c>
      <c r="J44" s="85">
        <v>44374.239999999998</v>
      </c>
      <c r="K44" s="85">
        <v>44374.239999999998</v>
      </c>
      <c r="L44" s="85">
        <v>44374.239999999998</v>
      </c>
      <c r="M44" s="114">
        <f t="shared" si="1"/>
        <v>8.4087389800340251E-3</v>
      </c>
    </row>
    <row r="45" spans="1:13">
      <c r="A45" s="121">
        <v>44620</v>
      </c>
      <c r="B45" s="103">
        <v>117.41</v>
      </c>
      <c r="C45" s="103">
        <v>117.41</v>
      </c>
      <c r="D45" s="103">
        <v>117.41</v>
      </c>
      <c r="E45" s="103">
        <v>117.41</v>
      </c>
      <c r="F45" s="112">
        <f t="shared" si="0"/>
        <v>-2.3211314475873546E-2</v>
      </c>
      <c r="H45" s="105">
        <v>44620</v>
      </c>
      <c r="I45" s="85">
        <v>44004.22</v>
      </c>
      <c r="J45" s="85">
        <v>44004.22</v>
      </c>
      <c r="K45" s="85">
        <v>44004.22</v>
      </c>
      <c r="L45" s="85">
        <v>44004.22</v>
      </c>
      <c r="M45" s="114">
        <f t="shared" si="1"/>
        <v>-2.5141623369013266E-2</v>
      </c>
    </row>
    <row r="46" spans="1:13">
      <c r="A46" s="121">
        <v>44592</v>
      </c>
      <c r="B46" s="103">
        <v>120.2</v>
      </c>
      <c r="C46" s="103">
        <v>120.2</v>
      </c>
      <c r="D46" s="103">
        <v>120.2</v>
      </c>
      <c r="E46" s="103">
        <v>120.2</v>
      </c>
      <c r="F46" s="112">
        <f t="shared" si="0"/>
        <v>4.249783174327848E-2</v>
      </c>
      <c r="H46" s="105">
        <v>44592</v>
      </c>
      <c r="I46" s="85">
        <v>45139.09</v>
      </c>
      <c r="J46" s="85">
        <v>45139.09</v>
      </c>
      <c r="K46" s="85">
        <v>45139.09</v>
      </c>
      <c r="L46" s="85">
        <v>45139.09</v>
      </c>
      <c r="M46" s="114">
        <f t="shared" si="1"/>
        <v>1.6035177044434912E-2</v>
      </c>
    </row>
    <row r="47" spans="1:13">
      <c r="A47" s="121">
        <v>44561</v>
      </c>
      <c r="B47" s="103">
        <v>115.3</v>
      </c>
      <c r="C47" s="103">
        <v>115.3</v>
      </c>
      <c r="D47" s="103">
        <v>115.3</v>
      </c>
      <c r="E47" s="103">
        <v>115.3</v>
      </c>
      <c r="F47" s="112">
        <f t="shared" si="0"/>
        <v>-9.1338955000394018E-2</v>
      </c>
      <c r="H47" s="105">
        <v>44561</v>
      </c>
      <c r="I47" s="85">
        <v>44426.7</v>
      </c>
      <c r="J47" s="85">
        <v>44426.7</v>
      </c>
      <c r="K47" s="85">
        <v>44426.7</v>
      </c>
      <c r="L47" s="85">
        <v>44426.7</v>
      </c>
      <c r="M47" s="114">
        <f t="shared" si="1"/>
        <v>-2.3834875875219153E-2</v>
      </c>
    </row>
    <row r="48" spans="1:13">
      <c r="A48" s="121">
        <v>44530</v>
      </c>
      <c r="B48" s="103">
        <v>126.89</v>
      </c>
      <c r="C48" s="103">
        <v>126.89</v>
      </c>
      <c r="D48" s="103">
        <v>126.89</v>
      </c>
      <c r="E48" s="103">
        <v>126.89</v>
      </c>
      <c r="F48" s="112">
        <f t="shared" si="0"/>
        <v>1.1075697211155422E-2</v>
      </c>
      <c r="H48" s="105">
        <v>44530</v>
      </c>
      <c r="I48" s="85">
        <v>45511.46</v>
      </c>
      <c r="J48" s="85">
        <v>45511.46</v>
      </c>
      <c r="K48" s="85">
        <v>45511.46</v>
      </c>
      <c r="L48" s="85">
        <v>45511.46</v>
      </c>
      <c r="M48" s="114">
        <f t="shared" si="1"/>
        <v>-1.0306529831962008E-2</v>
      </c>
    </row>
    <row r="49" spans="1:13">
      <c r="A49" s="121">
        <v>44498</v>
      </c>
      <c r="B49" s="103">
        <v>125.5</v>
      </c>
      <c r="C49" s="103">
        <v>125.5</v>
      </c>
      <c r="D49" s="103">
        <v>125.5</v>
      </c>
      <c r="E49" s="103">
        <v>125.5</v>
      </c>
      <c r="F49" s="112">
        <f t="shared" si="0"/>
        <v>0.13063063063063063</v>
      </c>
      <c r="H49" s="105">
        <v>44498</v>
      </c>
      <c r="I49" s="85">
        <v>45985.41</v>
      </c>
      <c r="J49" s="85">
        <v>45985.41</v>
      </c>
      <c r="K49" s="85">
        <v>45985.41</v>
      </c>
      <c r="L49" s="85">
        <v>45985.41</v>
      </c>
      <c r="M49" s="114">
        <f t="shared" si="1"/>
        <v>3.8481628512564869E-2</v>
      </c>
    </row>
    <row r="50" spans="1:13">
      <c r="A50" s="121">
        <v>44469</v>
      </c>
      <c r="B50" s="103">
        <v>111</v>
      </c>
      <c r="C50" s="103">
        <v>111</v>
      </c>
      <c r="D50" s="103">
        <v>111</v>
      </c>
      <c r="E50" s="103">
        <v>111</v>
      </c>
      <c r="F50" s="112">
        <f t="shared" si="0"/>
        <v>-0.11199999999999999</v>
      </c>
      <c r="H50" s="105">
        <v>44469</v>
      </c>
      <c r="I50" s="85">
        <v>44281.39</v>
      </c>
      <c r="J50" s="85">
        <v>44281.39</v>
      </c>
      <c r="K50" s="85">
        <v>44281.39</v>
      </c>
      <c r="L50" s="85">
        <v>44281.39</v>
      </c>
      <c r="M50" s="114">
        <f t="shared" si="1"/>
        <v>-6.5916427879536554E-2</v>
      </c>
    </row>
    <row r="51" spans="1:13">
      <c r="A51" s="121">
        <v>44439</v>
      </c>
      <c r="B51" s="103">
        <v>125</v>
      </c>
      <c r="C51" s="103">
        <v>125</v>
      </c>
      <c r="D51" s="103">
        <v>125</v>
      </c>
      <c r="E51" s="103">
        <v>125</v>
      </c>
      <c r="F51" s="112">
        <f t="shared" si="0"/>
        <v>-3.1007751937984551E-2</v>
      </c>
      <c r="H51" s="105">
        <v>44439</v>
      </c>
      <c r="I51" s="85">
        <v>47406.239999999998</v>
      </c>
      <c r="J51" s="85">
        <v>47406.239999999998</v>
      </c>
      <c r="K51" s="85">
        <v>47406.239999999998</v>
      </c>
      <c r="L51" s="85">
        <v>47406.239999999998</v>
      </c>
      <c r="M51" s="114">
        <f t="shared" si="1"/>
        <v>-2.4526618340314776E-4</v>
      </c>
    </row>
    <row r="52" spans="1:13">
      <c r="A52" s="121">
        <v>44407</v>
      </c>
      <c r="B52" s="103">
        <v>129</v>
      </c>
      <c r="C52" s="103">
        <v>129</v>
      </c>
      <c r="D52" s="103">
        <v>129</v>
      </c>
      <c r="E52" s="103">
        <v>129</v>
      </c>
      <c r="F52" s="112">
        <f t="shared" si="0"/>
        <v>3.2495597886985861E-2</v>
      </c>
      <c r="H52" s="105">
        <v>44407</v>
      </c>
      <c r="I52" s="85">
        <v>47417.87</v>
      </c>
      <c r="J52" s="85">
        <v>47417.87</v>
      </c>
      <c r="K52" s="85">
        <v>47417.87</v>
      </c>
      <c r="L52" s="85">
        <v>47417.87</v>
      </c>
      <c r="M52" s="114">
        <f t="shared" si="1"/>
        <v>3.9726666644084307E-3</v>
      </c>
    </row>
    <row r="53" spans="1:13">
      <c r="A53" s="121">
        <v>44377</v>
      </c>
      <c r="B53" s="103">
        <v>124.94</v>
      </c>
      <c r="C53" s="103">
        <v>124.94</v>
      </c>
      <c r="D53" s="103">
        <v>124.94</v>
      </c>
      <c r="E53" s="103">
        <v>124.94</v>
      </c>
      <c r="F53" s="112">
        <f t="shared" si="0"/>
        <v>-7.4175620600222203E-2</v>
      </c>
      <c r="H53" s="105">
        <v>44377</v>
      </c>
      <c r="I53" s="85">
        <v>47230.239999999998</v>
      </c>
      <c r="J53" s="85">
        <v>47230.239999999998</v>
      </c>
      <c r="K53" s="85">
        <v>47230.239999999998</v>
      </c>
      <c r="L53" s="85">
        <v>47230.239999999998</v>
      </c>
      <c r="M53" s="114">
        <f t="shared" si="1"/>
        <v>-3.4845161101111355E-3</v>
      </c>
    </row>
    <row r="54" spans="1:13">
      <c r="A54" s="121">
        <v>44347</v>
      </c>
      <c r="B54" s="103">
        <v>134.94999999999999</v>
      </c>
      <c r="C54" s="103">
        <v>134.94999999999999</v>
      </c>
      <c r="D54" s="103">
        <v>134.94999999999999</v>
      </c>
      <c r="E54" s="103">
        <v>134.94999999999999</v>
      </c>
      <c r="F54" s="112">
        <f t="shared" si="0"/>
        <v>8.3500602167803972E-2</v>
      </c>
      <c r="H54" s="105">
        <v>44347</v>
      </c>
      <c r="I54" s="85">
        <v>47395.39</v>
      </c>
      <c r="J54" s="85">
        <v>47395.39</v>
      </c>
      <c r="K54" s="85">
        <v>47395.39</v>
      </c>
      <c r="L54" s="85">
        <v>47395.39</v>
      </c>
      <c r="M54" s="114">
        <f t="shared" si="1"/>
        <v>5.4786816641970937E-2</v>
      </c>
    </row>
    <row r="55" spans="1:13">
      <c r="A55" s="121">
        <v>44316</v>
      </c>
      <c r="B55" s="103">
        <v>124.55</v>
      </c>
      <c r="C55" s="103">
        <v>124.55</v>
      </c>
      <c r="D55" s="103">
        <v>124.55</v>
      </c>
      <c r="E55" s="103">
        <v>124.55</v>
      </c>
      <c r="F55" s="112">
        <f t="shared" si="0"/>
        <v>4.8400673400673444E-2</v>
      </c>
      <c r="H55" s="105">
        <v>44316</v>
      </c>
      <c r="I55" s="85">
        <v>44933.62</v>
      </c>
      <c r="J55" s="85">
        <v>44933.62</v>
      </c>
      <c r="K55" s="85">
        <v>44933.62</v>
      </c>
      <c r="L55" s="85">
        <v>44933.62</v>
      </c>
      <c r="M55" s="114">
        <f t="shared" si="1"/>
        <v>3.4672998296498836E-3</v>
      </c>
    </row>
    <row r="56" spans="1:13">
      <c r="A56" s="121">
        <v>44286</v>
      </c>
      <c r="B56" s="103">
        <v>118.8</v>
      </c>
      <c r="C56" s="103">
        <v>118.8</v>
      </c>
      <c r="D56" s="103">
        <v>118.8</v>
      </c>
      <c r="E56" s="103">
        <v>118.8</v>
      </c>
      <c r="F56" s="112">
        <f t="shared" si="0"/>
        <v>-2.5989997540378784E-2</v>
      </c>
      <c r="H56" s="105">
        <v>44286</v>
      </c>
      <c r="I56" s="85">
        <v>44778.36</v>
      </c>
      <c r="J56" s="85">
        <v>44778.36</v>
      </c>
      <c r="K56" s="85">
        <v>44778.36</v>
      </c>
      <c r="L56" s="85">
        <v>44778.36</v>
      </c>
      <c r="M56" s="114">
        <f t="shared" si="1"/>
        <v>-2.5241467285182839E-2</v>
      </c>
    </row>
    <row r="57" spans="1:13">
      <c r="A57" s="121">
        <v>44253</v>
      </c>
      <c r="B57" s="103">
        <v>121.97</v>
      </c>
      <c r="C57" s="103">
        <v>121.97</v>
      </c>
      <c r="D57" s="103">
        <v>121.97</v>
      </c>
      <c r="E57" s="103">
        <v>121.97</v>
      </c>
      <c r="F57" s="112">
        <f t="shared" si="0"/>
        <v>-0.14688396167028051</v>
      </c>
      <c r="H57" s="105">
        <v>44253</v>
      </c>
      <c r="I57" s="85">
        <v>45937.9</v>
      </c>
      <c r="J57" s="85">
        <v>45937.9</v>
      </c>
      <c r="K57" s="85">
        <v>45937.9</v>
      </c>
      <c r="L57" s="85">
        <v>45937.9</v>
      </c>
      <c r="M57" s="114">
        <f t="shared" si="1"/>
        <v>-7.7185057726250061E-3</v>
      </c>
    </row>
    <row r="58" spans="1:13">
      <c r="A58" s="121">
        <v>44225</v>
      </c>
      <c r="B58" s="103">
        <v>142.97</v>
      </c>
      <c r="C58" s="103">
        <v>142.97</v>
      </c>
      <c r="D58" s="103">
        <v>142.97</v>
      </c>
      <c r="E58" s="103">
        <v>142.97</v>
      </c>
      <c r="F58" s="112">
        <f t="shared" si="0"/>
        <v>7.901886792452828E-2</v>
      </c>
      <c r="H58" s="105">
        <v>44225</v>
      </c>
      <c r="I58" s="85">
        <v>46295.23</v>
      </c>
      <c r="J58" s="85">
        <v>46295.23</v>
      </c>
      <c r="K58" s="85">
        <v>46295.23</v>
      </c>
      <c r="L58" s="85">
        <v>46295.23</v>
      </c>
      <c r="M58" s="114">
        <f t="shared" si="1"/>
        <v>5.6619650996577287E-2</v>
      </c>
    </row>
    <row r="59" spans="1:13">
      <c r="A59" s="121">
        <v>44196</v>
      </c>
      <c r="B59" s="103">
        <v>132.5</v>
      </c>
      <c r="C59" s="103">
        <v>132.5</v>
      </c>
      <c r="D59" s="103">
        <v>132.5</v>
      </c>
      <c r="E59" s="103">
        <v>132.5</v>
      </c>
      <c r="F59" s="112">
        <f t="shared" si="0"/>
        <v>1.5792701625268357E-2</v>
      </c>
      <c r="H59" s="105">
        <v>44196</v>
      </c>
      <c r="I59" s="85">
        <v>43814.47</v>
      </c>
      <c r="J59" s="85">
        <v>43814.47</v>
      </c>
      <c r="K59" s="85">
        <v>43814.47</v>
      </c>
      <c r="L59" s="85">
        <v>43814.47</v>
      </c>
      <c r="M59" s="114">
        <f t="shared" si="1"/>
        <v>7.4339609687441133E-2</v>
      </c>
    </row>
    <row r="60" spans="1:13">
      <c r="A60" s="121">
        <v>44165</v>
      </c>
      <c r="B60" s="103">
        <v>130.44</v>
      </c>
      <c r="C60" s="103">
        <v>130.44</v>
      </c>
      <c r="D60" s="103">
        <v>130.44</v>
      </c>
      <c r="E60" s="103">
        <v>130.44</v>
      </c>
      <c r="F60" s="112">
        <f t="shared" si="0"/>
        <v>-1.2566237698713123E-2</v>
      </c>
      <c r="H60" s="105">
        <v>44165</v>
      </c>
      <c r="I60" s="85">
        <v>40782.699999999997</v>
      </c>
      <c r="J60" s="85">
        <v>40782.699999999997</v>
      </c>
      <c r="K60" s="85">
        <v>40782.699999999997</v>
      </c>
      <c r="L60" s="85">
        <v>40782.699999999997</v>
      </c>
      <c r="M60" s="114">
        <f t="shared" si="1"/>
        <v>-6.0914905569102729E-3</v>
      </c>
    </row>
    <row r="61" spans="1:13">
      <c r="A61" s="121">
        <v>44133</v>
      </c>
      <c r="B61" s="103">
        <v>132.1</v>
      </c>
      <c r="C61" s="103">
        <v>132.1</v>
      </c>
      <c r="D61" s="103">
        <v>132.1</v>
      </c>
      <c r="E61" s="103">
        <v>132.1</v>
      </c>
      <c r="F61" s="112">
        <f t="shared" si="0"/>
        <v>1.5163002274449777E-3</v>
      </c>
      <c r="H61" s="105">
        <v>44133</v>
      </c>
      <c r="I61" s="85">
        <v>41032.65</v>
      </c>
      <c r="J61" s="85">
        <v>41032.65</v>
      </c>
      <c r="K61" s="85">
        <v>41032.65</v>
      </c>
      <c r="L61" s="85">
        <v>41032.65</v>
      </c>
      <c r="M61" s="114">
        <f t="shared" si="1"/>
        <v>-6.1162412837930669E-3</v>
      </c>
    </row>
    <row r="62" spans="1:13">
      <c r="A62" s="121">
        <v>44104</v>
      </c>
      <c r="B62" s="103">
        <v>131.9</v>
      </c>
      <c r="C62" s="103">
        <v>131.9</v>
      </c>
      <c r="D62" s="103">
        <v>131.9</v>
      </c>
      <c r="E62" s="103">
        <v>131.9</v>
      </c>
      <c r="F62" s="112"/>
      <c r="H62" s="105">
        <v>44104</v>
      </c>
      <c r="I62" s="85">
        <v>41285.160000000003</v>
      </c>
      <c r="J62" s="85">
        <v>41285.160000000003</v>
      </c>
      <c r="K62" s="85">
        <v>41285.160000000003</v>
      </c>
      <c r="L62" s="85">
        <v>41285.160000000003</v>
      </c>
      <c r="M62" s="114"/>
    </row>
    <row r="63" spans="1:13">
      <c r="A63" s="119"/>
      <c r="B63" s="106"/>
      <c r="C63" s="106"/>
      <c r="D63" s="106"/>
      <c r="E63" s="106"/>
      <c r="F63" s="117"/>
      <c r="H63" s="101"/>
    </row>
    <row r="64" spans="1:13">
      <c r="A64" s="119"/>
      <c r="B64" s="106"/>
      <c r="C64" s="106"/>
      <c r="D64" s="106"/>
      <c r="E64" s="106"/>
      <c r="F64" s="117"/>
      <c r="H64" s="101"/>
    </row>
    <row r="65" spans="1:8">
      <c r="A65" s="119"/>
      <c r="B65" s="106"/>
      <c r="C65" s="106"/>
      <c r="D65" s="106"/>
      <c r="E65" s="106"/>
      <c r="F65" s="117"/>
      <c r="H65" s="101"/>
    </row>
    <row r="66" spans="1:8">
      <c r="A66" s="119"/>
      <c r="B66" s="106"/>
      <c r="C66" s="106"/>
      <c r="D66" s="106"/>
      <c r="E66" s="106"/>
      <c r="F66" s="117"/>
      <c r="H66" s="101"/>
    </row>
    <row r="67" spans="1:8">
      <c r="A67" s="119"/>
      <c r="B67" s="106"/>
      <c r="C67" s="106"/>
      <c r="D67" s="106"/>
      <c r="E67" s="106"/>
      <c r="F67" s="117"/>
      <c r="H67" s="101"/>
    </row>
    <row r="68" spans="1:8">
      <c r="A68" s="119"/>
      <c r="B68" s="106"/>
      <c r="C68" s="106"/>
      <c r="D68" s="106"/>
      <c r="E68" s="106"/>
      <c r="F68" s="117"/>
      <c r="H68" s="101"/>
    </row>
    <row r="69" spans="1:8">
      <c r="A69" s="119"/>
      <c r="B69" s="106"/>
      <c r="C69" s="106"/>
      <c r="D69" s="106"/>
      <c r="E69" s="106"/>
      <c r="F69" s="117"/>
      <c r="H69" s="101"/>
    </row>
    <row r="70" spans="1:8">
      <c r="A70" s="119"/>
      <c r="B70" s="106"/>
      <c r="C70" s="106"/>
      <c r="D70" s="106"/>
      <c r="E70" s="106"/>
      <c r="F70" s="117"/>
      <c r="H70" s="101"/>
    </row>
    <row r="71" spans="1:8">
      <c r="A71" s="119"/>
      <c r="B71" s="106"/>
      <c r="C71" s="106"/>
      <c r="D71" s="106"/>
      <c r="E71" s="106"/>
      <c r="F71" s="117"/>
      <c r="H71" s="101"/>
    </row>
    <row r="72" spans="1:8">
      <c r="A72" s="119"/>
      <c r="B72" s="106"/>
      <c r="C72" s="106"/>
      <c r="D72" s="106"/>
      <c r="E72" s="106"/>
      <c r="F72" s="117"/>
      <c r="H72" s="101"/>
    </row>
    <row r="73" spans="1:8">
      <c r="A73" s="119"/>
      <c r="B73" s="106"/>
      <c r="C73" s="106"/>
      <c r="D73" s="106"/>
      <c r="E73" s="106"/>
      <c r="F73" s="117"/>
      <c r="H73" s="101"/>
    </row>
    <row r="74" spans="1:8">
      <c r="A74" s="119"/>
      <c r="B74" s="106"/>
      <c r="C74" s="106"/>
      <c r="D74" s="106"/>
      <c r="E74" s="106"/>
      <c r="F74" s="117"/>
      <c r="H74" s="101"/>
    </row>
    <row r="75" spans="1:8">
      <c r="A75" s="119"/>
      <c r="B75" s="106"/>
      <c r="C75" s="106"/>
      <c r="D75" s="106"/>
      <c r="E75" s="106"/>
      <c r="F75" s="117"/>
      <c r="H75" s="101"/>
    </row>
    <row r="76" spans="1:8">
      <c r="A76" s="119"/>
      <c r="B76" s="106"/>
      <c r="C76" s="106"/>
      <c r="D76" s="106"/>
      <c r="E76" s="106"/>
      <c r="F76" s="117"/>
      <c r="H76" s="101"/>
    </row>
    <row r="77" spans="1:8">
      <c r="A77" s="119"/>
      <c r="B77" s="106"/>
      <c r="C77" s="106"/>
      <c r="D77" s="106"/>
      <c r="E77" s="106"/>
      <c r="F77" s="117"/>
      <c r="H77" s="101"/>
    </row>
    <row r="78" spans="1:8">
      <c r="A78" s="119"/>
      <c r="B78" s="106"/>
      <c r="C78" s="106"/>
      <c r="D78" s="106"/>
      <c r="E78" s="106"/>
      <c r="F78" s="117"/>
      <c r="H78" s="101"/>
    </row>
    <row r="79" spans="1:8">
      <c r="A79" s="119"/>
      <c r="B79" s="106"/>
      <c r="C79" s="106"/>
      <c r="D79" s="106"/>
      <c r="E79" s="106"/>
      <c r="F79" s="117"/>
      <c r="H79" s="101"/>
    </row>
    <row r="80" spans="1:8">
      <c r="A80" s="119"/>
      <c r="B80" s="106"/>
      <c r="C80" s="106"/>
      <c r="D80" s="106"/>
      <c r="E80" s="106"/>
      <c r="F80" s="117"/>
      <c r="H80" s="101"/>
    </row>
    <row r="81" spans="1:8">
      <c r="A81" s="119"/>
      <c r="B81" s="106"/>
      <c r="C81" s="106"/>
      <c r="D81" s="106"/>
      <c r="E81" s="106"/>
      <c r="F81" s="117"/>
      <c r="H81" s="101"/>
    </row>
    <row r="82" spans="1:8">
      <c r="A82" s="119"/>
      <c r="B82" s="106"/>
      <c r="C82" s="106"/>
      <c r="D82" s="106"/>
      <c r="E82" s="106"/>
      <c r="F82" s="117"/>
      <c r="H82" s="101"/>
    </row>
    <row r="83" spans="1:8">
      <c r="A83" s="119"/>
      <c r="B83" s="106"/>
      <c r="C83" s="106"/>
      <c r="D83" s="106"/>
      <c r="E83" s="106"/>
      <c r="F83" s="117"/>
      <c r="H83" s="101"/>
    </row>
    <row r="84" spans="1:8">
      <c r="A84" s="119"/>
      <c r="B84" s="106"/>
      <c r="C84" s="106"/>
      <c r="D84" s="106"/>
      <c r="E84" s="106"/>
      <c r="F84" s="117"/>
      <c r="H84" s="101"/>
    </row>
    <row r="85" spans="1:8">
      <c r="A85" s="119"/>
      <c r="B85" s="106"/>
      <c r="C85" s="106"/>
      <c r="D85" s="106"/>
      <c r="E85" s="106"/>
      <c r="F85" s="117"/>
      <c r="H85" s="101"/>
    </row>
    <row r="86" spans="1:8">
      <c r="A86" s="119"/>
      <c r="B86" s="106"/>
      <c r="C86" s="106"/>
      <c r="D86" s="106"/>
      <c r="E86" s="106"/>
      <c r="F86" s="117"/>
      <c r="H86" s="101"/>
    </row>
    <row r="87" spans="1:8">
      <c r="A87" s="119"/>
      <c r="B87" s="106"/>
      <c r="C87" s="106"/>
      <c r="D87" s="106"/>
      <c r="E87" s="106"/>
      <c r="F87" s="117"/>
      <c r="H87" s="101"/>
    </row>
    <row r="88" spans="1:8">
      <c r="A88" s="119"/>
      <c r="B88" s="106"/>
      <c r="C88" s="106"/>
      <c r="D88" s="106"/>
      <c r="E88" s="106"/>
      <c r="F88" s="117"/>
      <c r="H88" s="101"/>
    </row>
    <row r="89" spans="1:8">
      <c r="A89" s="119"/>
      <c r="B89" s="106"/>
      <c r="C89" s="106"/>
      <c r="D89" s="106"/>
      <c r="E89" s="106"/>
      <c r="F89" s="117"/>
      <c r="H89" s="101"/>
    </row>
    <row r="90" spans="1:8">
      <c r="A90" s="119"/>
      <c r="B90" s="106"/>
      <c r="C90" s="106"/>
      <c r="D90" s="106"/>
      <c r="E90" s="106"/>
      <c r="F90" s="117"/>
      <c r="H90" s="101"/>
    </row>
    <row r="91" spans="1:8">
      <c r="A91" s="119"/>
      <c r="B91" s="106"/>
      <c r="C91" s="106"/>
      <c r="D91" s="106"/>
      <c r="E91" s="106"/>
      <c r="F91" s="117"/>
      <c r="H91" s="101"/>
    </row>
    <row r="92" spans="1:8">
      <c r="A92" s="119"/>
      <c r="B92" s="106"/>
      <c r="C92" s="106"/>
      <c r="D92" s="106"/>
      <c r="E92" s="106"/>
      <c r="F92" s="117"/>
      <c r="H92" s="101"/>
    </row>
    <row r="93" spans="1:8">
      <c r="A93" s="119"/>
      <c r="B93" s="106"/>
      <c r="C93" s="106"/>
      <c r="D93" s="106"/>
      <c r="E93" s="106"/>
      <c r="F93" s="117"/>
      <c r="H93" s="101"/>
    </row>
    <row r="94" spans="1:8">
      <c r="A94" s="119"/>
      <c r="B94" s="106"/>
      <c r="C94" s="106"/>
      <c r="D94" s="106"/>
      <c r="E94" s="106"/>
      <c r="F94" s="117"/>
      <c r="H94" s="101"/>
    </row>
    <row r="95" spans="1:8">
      <c r="A95" s="119"/>
      <c r="B95" s="106"/>
      <c r="C95" s="106"/>
      <c r="D95" s="106"/>
      <c r="E95" s="106"/>
      <c r="F95" s="117"/>
      <c r="H95" s="101"/>
    </row>
    <row r="96" spans="1:8">
      <c r="A96" s="119"/>
      <c r="B96" s="106"/>
      <c r="C96" s="106"/>
      <c r="D96" s="106"/>
      <c r="E96" s="106"/>
      <c r="F96" s="117"/>
      <c r="H96" s="101"/>
    </row>
    <row r="97" spans="1:8">
      <c r="A97" s="119"/>
      <c r="B97" s="106"/>
      <c r="C97" s="106"/>
      <c r="D97" s="106"/>
      <c r="E97" s="106"/>
      <c r="F97" s="117"/>
      <c r="H97" s="101"/>
    </row>
    <row r="98" spans="1:8">
      <c r="A98" s="119"/>
      <c r="B98" s="106"/>
      <c r="C98" s="106"/>
      <c r="D98" s="106"/>
      <c r="E98" s="106"/>
      <c r="F98" s="117"/>
      <c r="H98" s="101"/>
    </row>
    <row r="99" spans="1:8">
      <c r="A99" s="119"/>
      <c r="B99" s="106"/>
      <c r="C99" s="106"/>
      <c r="D99" s="106"/>
      <c r="E99" s="106"/>
      <c r="F99" s="117"/>
      <c r="H99" s="101"/>
    </row>
    <row r="100" spans="1:8">
      <c r="A100" s="119"/>
      <c r="B100" s="106"/>
      <c r="C100" s="106"/>
      <c r="D100" s="106"/>
      <c r="E100" s="106"/>
      <c r="F100" s="117"/>
      <c r="H100" s="101"/>
    </row>
    <row r="101" spans="1:8">
      <c r="A101" s="119"/>
      <c r="B101" s="106"/>
      <c r="C101" s="106"/>
      <c r="D101" s="106"/>
      <c r="E101" s="106"/>
      <c r="F101" s="117"/>
      <c r="H101" s="101"/>
    </row>
    <row r="102" spans="1:8">
      <c r="A102" s="119"/>
      <c r="B102" s="106"/>
      <c r="C102" s="106"/>
      <c r="D102" s="106"/>
      <c r="E102" s="106"/>
      <c r="F102" s="117"/>
      <c r="H102" s="101"/>
    </row>
    <row r="103" spans="1:8">
      <c r="A103" s="119"/>
      <c r="B103" s="106"/>
      <c r="C103" s="106"/>
      <c r="D103" s="106"/>
      <c r="E103" s="106"/>
      <c r="F103" s="117"/>
      <c r="H103" s="101"/>
    </row>
    <row r="104" spans="1:8">
      <c r="A104" s="119"/>
      <c r="B104" s="106"/>
      <c r="C104" s="106"/>
      <c r="D104" s="106"/>
      <c r="E104" s="106"/>
      <c r="F104" s="117"/>
      <c r="H104" s="101"/>
    </row>
    <row r="105" spans="1:8">
      <c r="A105" s="119"/>
      <c r="B105" s="106"/>
      <c r="C105" s="106"/>
      <c r="D105" s="106"/>
      <c r="E105" s="106"/>
      <c r="F105" s="117"/>
      <c r="H105" s="101"/>
    </row>
    <row r="106" spans="1:8">
      <c r="A106" s="119"/>
      <c r="B106" s="106"/>
      <c r="C106" s="106"/>
      <c r="D106" s="106"/>
      <c r="E106" s="106"/>
      <c r="F106" s="117"/>
      <c r="H106" s="101"/>
    </row>
    <row r="107" spans="1:8">
      <c r="A107" s="119"/>
      <c r="B107" s="106"/>
      <c r="C107" s="106"/>
      <c r="D107" s="106"/>
      <c r="E107" s="106"/>
      <c r="F107" s="117"/>
      <c r="H107" s="101"/>
    </row>
    <row r="108" spans="1:8">
      <c r="A108" s="119"/>
      <c r="B108" s="106"/>
      <c r="C108" s="106"/>
      <c r="D108" s="106"/>
      <c r="E108" s="106"/>
      <c r="F108" s="117"/>
      <c r="H108" s="101"/>
    </row>
    <row r="109" spans="1:8">
      <c r="A109" s="119"/>
      <c r="B109" s="106"/>
      <c r="C109" s="106"/>
      <c r="D109" s="106"/>
      <c r="E109" s="106"/>
      <c r="F109" s="117"/>
      <c r="H109" s="101"/>
    </row>
    <row r="110" spans="1:8">
      <c r="A110" s="119"/>
      <c r="B110" s="106"/>
      <c r="C110" s="106"/>
      <c r="D110" s="106"/>
      <c r="E110" s="106"/>
      <c r="F110" s="117"/>
      <c r="H110" s="101"/>
    </row>
    <row r="111" spans="1:8">
      <c r="A111" s="119"/>
      <c r="B111" s="106"/>
      <c r="C111" s="106"/>
      <c r="D111" s="106"/>
      <c r="E111" s="106"/>
      <c r="F111" s="117"/>
      <c r="H111" s="101"/>
    </row>
    <row r="112" spans="1:8">
      <c r="A112" s="119"/>
      <c r="B112" s="106"/>
      <c r="C112" s="106"/>
      <c r="D112" s="106"/>
      <c r="E112" s="106"/>
      <c r="F112" s="117"/>
      <c r="H112" s="101"/>
    </row>
    <row r="113" spans="1:8">
      <c r="A113" s="119"/>
      <c r="B113" s="106"/>
      <c r="C113" s="106"/>
      <c r="D113" s="106"/>
      <c r="E113" s="106"/>
      <c r="F113" s="117"/>
      <c r="H113" s="101"/>
    </row>
    <row r="114" spans="1:8">
      <c r="A114" s="119"/>
      <c r="B114" s="106"/>
      <c r="C114" s="106"/>
      <c r="D114" s="106"/>
      <c r="E114" s="106"/>
      <c r="F114" s="117"/>
      <c r="H114" s="101"/>
    </row>
    <row r="115" spans="1:8">
      <c r="A115" s="119"/>
      <c r="B115" s="106"/>
      <c r="C115" s="106"/>
      <c r="D115" s="106"/>
      <c r="E115" s="106"/>
      <c r="F115" s="117"/>
      <c r="H115" s="101"/>
    </row>
    <row r="116" spans="1:8">
      <c r="A116" s="119"/>
      <c r="B116" s="106"/>
      <c r="C116" s="106"/>
      <c r="D116" s="106"/>
      <c r="E116" s="106"/>
      <c r="F116" s="117"/>
      <c r="H116" s="101"/>
    </row>
    <row r="117" spans="1:8">
      <c r="A117" s="119"/>
      <c r="B117" s="106"/>
      <c r="C117" s="106"/>
      <c r="D117" s="106"/>
      <c r="E117" s="106"/>
      <c r="F117" s="117"/>
      <c r="H117" s="101"/>
    </row>
    <row r="118" spans="1:8">
      <c r="A118" s="119"/>
      <c r="B118" s="106"/>
      <c r="C118" s="106"/>
      <c r="D118" s="106"/>
      <c r="E118" s="106"/>
      <c r="F118" s="117"/>
      <c r="H118" s="101"/>
    </row>
    <row r="119" spans="1:8">
      <c r="A119" s="119"/>
      <c r="B119" s="106"/>
      <c r="C119" s="106"/>
      <c r="D119" s="106"/>
      <c r="E119" s="106"/>
      <c r="F119" s="117"/>
      <c r="H119" s="101"/>
    </row>
    <row r="120" spans="1:8">
      <c r="A120" s="119"/>
      <c r="B120" s="106"/>
      <c r="C120" s="106"/>
      <c r="D120" s="106"/>
      <c r="E120" s="106"/>
      <c r="F120" s="117"/>
      <c r="H120" s="101"/>
    </row>
    <row r="121" spans="1:8">
      <c r="A121" s="119"/>
      <c r="B121" s="106"/>
      <c r="C121" s="106"/>
      <c r="D121" s="106"/>
      <c r="E121" s="106"/>
      <c r="F121" s="117"/>
      <c r="H121" s="101"/>
    </row>
    <row r="122" spans="1:8">
      <c r="A122" s="119"/>
      <c r="B122" s="106"/>
      <c r="C122" s="106"/>
      <c r="D122" s="106"/>
      <c r="E122" s="106"/>
      <c r="F122" s="117"/>
      <c r="H122" s="101"/>
    </row>
    <row r="123" spans="1:8">
      <c r="A123" s="119"/>
      <c r="B123" s="106"/>
      <c r="C123" s="106"/>
      <c r="D123" s="106"/>
      <c r="E123" s="106"/>
      <c r="F123" s="117"/>
      <c r="H123" s="101"/>
    </row>
    <row r="124" spans="1:8">
      <c r="A124" s="119"/>
      <c r="B124" s="106"/>
      <c r="C124" s="106"/>
      <c r="D124" s="106"/>
      <c r="E124" s="106"/>
      <c r="F124" s="117"/>
      <c r="H124" s="101"/>
    </row>
    <row r="125" spans="1:8">
      <c r="A125" s="119"/>
      <c r="B125" s="106"/>
      <c r="C125" s="106"/>
      <c r="D125" s="106"/>
      <c r="E125" s="106"/>
      <c r="F125" s="117"/>
      <c r="H125" s="101"/>
    </row>
    <row r="126" spans="1:8">
      <c r="A126" s="119"/>
      <c r="B126" s="106"/>
      <c r="C126" s="106"/>
      <c r="D126" s="106"/>
      <c r="E126" s="106"/>
      <c r="F126" s="117"/>
      <c r="H126" s="101"/>
    </row>
    <row r="127" spans="1:8">
      <c r="A127" s="119"/>
      <c r="B127" s="106"/>
      <c r="C127" s="106"/>
      <c r="D127" s="106"/>
      <c r="E127" s="106"/>
      <c r="F127" s="117"/>
      <c r="H127" s="101"/>
    </row>
    <row r="128" spans="1:8">
      <c r="A128" s="119"/>
      <c r="B128" s="106"/>
      <c r="C128" s="106"/>
      <c r="D128" s="106"/>
      <c r="E128" s="106"/>
      <c r="F128" s="117"/>
      <c r="H128" s="101"/>
    </row>
    <row r="129" spans="1:8">
      <c r="A129" s="119"/>
      <c r="B129" s="106"/>
      <c r="C129" s="106"/>
      <c r="D129" s="106"/>
      <c r="E129" s="106"/>
      <c r="F129" s="117"/>
      <c r="H129" s="101"/>
    </row>
    <row r="130" spans="1:8">
      <c r="A130" s="119"/>
      <c r="B130" s="106"/>
      <c r="C130" s="106"/>
      <c r="D130" s="106"/>
      <c r="E130" s="106"/>
      <c r="F130" s="117"/>
      <c r="H130" s="101"/>
    </row>
    <row r="131" spans="1:8">
      <c r="A131" s="119"/>
      <c r="B131" s="106"/>
      <c r="C131" s="106"/>
      <c r="D131" s="106"/>
      <c r="E131" s="106"/>
      <c r="F131" s="117"/>
      <c r="H131" s="101"/>
    </row>
    <row r="132" spans="1:8">
      <c r="A132" s="119"/>
      <c r="B132" s="106"/>
      <c r="C132" s="106"/>
      <c r="D132" s="106"/>
      <c r="E132" s="106"/>
      <c r="F132" s="117"/>
      <c r="H132" s="101"/>
    </row>
    <row r="133" spans="1:8">
      <c r="A133" s="119"/>
      <c r="B133" s="106"/>
      <c r="C133" s="106"/>
      <c r="D133" s="106"/>
      <c r="E133" s="106"/>
      <c r="F133" s="117"/>
      <c r="H133" s="101"/>
    </row>
    <row r="134" spans="1:8">
      <c r="A134" s="119"/>
      <c r="B134" s="106"/>
      <c r="C134" s="106"/>
      <c r="D134" s="106"/>
      <c r="E134" s="106"/>
      <c r="F134" s="117"/>
      <c r="H134" s="101"/>
    </row>
    <row r="135" spans="1:8">
      <c r="A135" s="119"/>
      <c r="B135" s="106"/>
      <c r="C135" s="106"/>
      <c r="D135" s="106"/>
      <c r="E135" s="106"/>
      <c r="F135" s="117"/>
      <c r="H135" s="101"/>
    </row>
    <row r="136" spans="1:8">
      <c r="A136" s="119"/>
      <c r="B136" s="106"/>
      <c r="C136" s="106"/>
      <c r="D136" s="106"/>
      <c r="E136" s="106"/>
      <c r="F136" s="117"/>
      <c r="H136" s="101"/>
    </row>
    <row r="137" spans="1:8">
      <c r="A137" s="119"/>
      <c r="B137" s="106"/>
      <c r="C137" s="106"/>
      <c r="D137" s="106"/>
      <c r="E137" s="106"/>
      <c r="F137" s="117"/>
      <c r="H137" s="101"/>
    </row>
    <row r="138" spans="1:8">
      <c r="A138" s="119"/>
      <c r="B138" s="106"/>
      <c r="C138" s="106"/>
      <c r="D138" s="106"/>
      <c r="E138" s="106"/>
      <c r="F138" s="117"/>
      <c r="H138" s="101"/>
    </row>
    <row r="139" spans="1:8">
      <c r="A139" s="119"/>
      <c r="B139" s="106"/>
      <c r="C139" s="106"/>
      <c r="D139" s="106"/>
      <c r="E139" s="106"/>
      <c r="F139" s="117"/>
      <c r="H139" s="101"/>
    </row>
    <row r="140" spans="1:8">
      <c r="A140" s="119"/>
      <c r="B140" s="106"/>
      <c r="C140" s="106"/>
      <c r="D140" s="106"/>
      <c r="E140" s="106"/>
      <c r="F140" s="117"/>
      <c r="H140" s="101"/>
    </row>
    <row r="141" spans="1:8">
      <c r="A141" s="119"/>
      <c r="B141" s="106"/>
      <c r="C141" s="106"/>
      <c r="D141" s="106"/>
      <c r="E141" s="106"/>
      <c r="F141" s="117"/>
      <c r="H141" s="101"/>
    </row>
    <row r="142" spans="1:8">
      <c r="A142" s="119"/>
      <c r="B142" s="106"/>
      <c r="C142" s="106"/>
      <c r="D142" s="106"/>
      <c r="E142" s="106"/>
      <c r="F142" s="117"/>
      <c r="H142" s="101"/>
    </row>
    <row r="143" spans="1:8">
      <c r="A143" s="119"/>
      <c r="B143" s="106"/>
      <c r="C143" s="106"/>
      <c r="D143" s="106"/>
      <c r="E143" s="106"/>
      <c r="F143" s="117"/>
      <c r="H143" s="101"/>
    </row>
    <row r="144" spans="1:8">
      <c r="A144" s="119"/>
      <c r="B144" s="106"/>
      <c r="C144" s="106"/>
      <c r="D144" s="106"/>
      <c r="E144" s="106"/>
      <c r="F144" s="117"/>
      <c r="H144" s="101"/>
    </row>
    <row r="145" spans="1:8">
      <c r="A145" s="119"/>
      <c r="B145" s="106"/>
      <c r="C145" s="106"/>
      <c r="D145" s="106"/>
      <c r="E145" s="106"/>
      <c r="F145" s="117"/>
      <c r="H145" s="101"/>
    </row>
    <row r="146" spans="1:8">
      <c r="A146" s="119"/>
      <c r="B146" s="106"/>
      <c r="C146" s="106"/>
      <c r="D146" s="106"/>
      <c r="E146" s="106"/>
      <c r="F146" s="117"/>
      <c r="H146" s="101"/>
    </row>
    <row r="147" spans="1:8">
      <c r="A147" s="119"/>
      <c r="B147" s="106"/>
      <c r="C147" s="106"/>
      <c r="D147" s="106"/>
      <c r="E147" s="106"/>
      <c r="F147" s="117"/>
      <c r="H147" s="101"/>
    </row>
    <row r="148" spans="1:8">
      <c r="A148" s="119"/>
      <c r="B148" s="106"/>
      <c r="C148" s="106"/>
      <c r="D148" s="106"/>
      <c r="E148" s="106"/>
      <c r="F148" s="117"/>
      <c r="H148" s="101"/>
    </row>
    <row r="149" spans="1:8">
      <c r="A149" s="119"/>
      <c r="B149" s="106"/>
      <c r="C149" s="106"/>
      <c r="D149" s="106"/>
      <c r="E149" s="106"/>
      <c r="F149" s="117"/>
      <c r="H149" s="101"/>
    </row>
    <row r="150" spans="1:8">
      <c r="A150" s="119"/>
      <c r="B150" s="106"/>
      <c r="C150" s="106"/>
      <c r="D150" s="106"/>
      <c r="E150" s="106"/>
      <c r="F150" s="117"/>
      <c r="H150" s="101"/>
    </row>
    <row r="151" spans="1:8">
      <c r="A151" s="119"/>
      <c r="B151" s="106"/>
      <c r="C151" s="106"/>
      <c r="D151" s="106"/>
      <c r="E151" s="106"/>
      <c r="F151" s="117"/>
      <c r="H151" s="101"/>
    </row>
    <row r="152" spans="1:8">
      <c r="A152" s="119"/>
      <c r="B152" s="106"/>
      <c r="C152" s="106"/>
      <c r="D152" s="106"/>
      <c r="E152" s="106"/>
      <c r="F152" s="117"/>
      <c r="H152" s="101"/>
    </row>
    <row r="153" spans="1:8">
      <c r="A153" s="119"/>
      <c r="B153" s="106"/>
      <c r="C153" s="106"/>
      <c r="D153" s="106"/>
      <c r="E153" s="106"/>
      <c r="F153" s="117"/>
      <c r="H153" s="101"/>
    </row>
    <row r="154" spans="1:8">
      <c r="A154" s="119"/>
      <c r="B154" s="106"/>
      <c r="C154" s="106"/>
      <c r="D154" s="106"/>
      <c r="E154" s="106"/>
      <c r="F154" s="117"/>
      <c r="H154" s="101"/>
    </row>
    <row r="155" spans="1:8">
      <c r="A155" s="119"/>
      <c r="B155" s="106"/>
      <c r="C155" s="106"/>
      <c r="D155" s="106"/>
      <c r="E155" s="106"/>
      <c r="F155" s="117"/>
      <c r="H155" s="101"/>
    </row>
    <row r="156" spans="1:8">
      <c r="A156" s="119"/>
      <c r="B156" s="106"/>
      <c r="C156" s="106"/>
      <c r="D156" s="106"/>
      <c r="E156" s="106"/>
      <c r="F156" s="117"/>
      <c r="H156" s="101"/>
    </row>
    <row r="157" spans="1:8">
      <c r="A157" s="119"/>
      <c r="B157" s="106"/>
      <c r="C157" s="106"/>
      <c r="D157" s="106"/>
      <c r="E157" s="106"/>
      <c r="F157" s="117"/>
      <c r="H157" s="101"/>
    </row>
    <row r="158" spans="1:8">
      <c r="A158" s="119"/>
      <c r="B158" s="106"/>
      <c r="C158" s="106"/>
      <c r="D158" s="106"/>
      <c r="E158" s="106"/>
      <c r="F158" s="117"/>
      <c r="H158" s="101"/>
    </row>
    <row r="159" spans="1:8">
      <c r="A159" s="119"/>
      <c r="B159" s="106"/>
      <c r="C159" s="106"/>
      <c r="D159" s="106"/>
      <c r="E159" s="106"/>
      <c r="F159" s="117"/>
      <c r="H159" s="101"/>
    </row>
    <row r="160" spans="1:8">
      <c r="A160" s="119"/>
      <c r="B160" s="106"/>
      <c r="C160" s="106"/>
      <c r="D160" s="106"/>
      <c r="E160" s="106"/>
      <c r="F160" s="117"/>
      <c r="H160" s="101"/>
    </row>
    <row r="161" spans="1:8">
      <c r="A161" s="119"/>
      <c r="B161" s="106"/>
      <c r="C161" s="106"/>
      <c r="D161" s="106"/>
      <c r="E161" s="106"/>
      <c r="F161" s="117"/>
      <c r="H161" s="101"/>
    </row>
    <row r="162" spans="1:8">
      <c r="A162" s="119"/>
      <c r="B162" s="106"/>
      <c r="C162" s="106"/>
      <c r="D162" s="106"/>
      <c r="E162" s="106"/>
      <c r="F162" s="117"/>
      <c r="H162" s="101"/>
    </row>
    <row r="163" spans="1:8">
      <c r="A163" s="119"/>
      <c r="B163" s="106"/>
      <c r="C163" s="106"/>
      <c r="D163" s="106"/>
      <c r="E163" s="106"/>
      <c r="F163" s="117"/>
      <c r="H163" s="101"/>
    </row>
    <row r="164" spans="1:8">
      <c r="A164" s="119"/>
      <c r="B164" s="106"/>
      <c r="C164" s="106"/>
      <c r="D164" s="106"/>
      <c r="E164" s="106"/>
      <c r="F164" s="117"/>
      <c r="H164" s="101"/>
    </row>
    <row r="165" spans="1:8">
      <c r="A165" s="119"/>
      <c r="B165" s="106"/>
      <c r="C165" s="106"/>
      <c r="D165" s="106"/>
      <c r="E165" s="106"/>
      <c r="F165" s="117"/>
      <c r="H165" s="101"/>
    </row>
    <row r="166" spans="1:8">
      <c r="A166" s="119"/>
      <c r="B166" s="106"/>
      <c r="C166" s="106"/>
      <c r="D166" s="106"/>
      <c r="E166" s="106"/>
      <c r="F166" s="117"/>
      <c r="H166" s="101"/>
    </row>
    <row r="167" spans="1:8">
      <c r="A167" s="119"/>
      <c r="B167" s="106"/>
      <c r="C167" s="106"/>
      <c r="D167" s="106"/>
      <c r="E167" s="106"/>
      <c r="F167" s="117"/>
      <c r="H167" s="101"/>
    </row>
    <row r="168" spans="1:8">
      <c r="A168" s="119"/>
      <c r="B168" s="106"/>
      <c r="C168" s="106"/>
      <c r="D168" s="106"/>
      <c r="E168" s="106"/>
      <c r="F168" s="117"/>
      <c r="H168" s="101"/>
    </row>
    <row r="169" spans="1:8">
      <c r="A169" s="119"/>
      <c r="B169" s="106"/>
      <c r="C169" s="106"/>
      <c r="D169" s="106"/>
      <c r="E169" s="106"/>
      <c r="F169" s="117"/>
      <c r="H169" s="101"/>
    </row>
    <row r="170" spans="1:8">
      <c r="A170" s="119"/>
      <c r="B170" s="106"/>
      <c r="C170" s="106"/>
      <c r="D170" s="106"/>
      <c r="E170" s="106"/>
      <c r="F170" s="117"/>
      <c r="H170" s="101"/>
    </row>
    <row r="171" spans="1:8">
      <c r="A171" s="119"/>
      <c r="B171" s="106"/>
      <c r="C171" s="106"/>
      <c r="D171" s="106"/>
      <c r="E171" s="106"/>
      <c r="F171" s="117"/>
      <c r="H171" s="101"/>
    </row>
    <row r="172" spans="1:8">
      <c r="A172" s="119"/>
      <c r="B172" s="106"/>
      <c r="C172" s="106"/>
      <c r="D172" s="106"/>
      <c r="E172" s="106"/>
      <c r="F172" s="117"/>
      <c r="H172" s="101"/>
    </row>
    <row r="173" spans="1:8">
      <c r="A173" s="119"/>
      <c r="B173" s="106"/>
      <c r="C173" s="106"/>
      <c r="D173" s="106"/>
      <c r="E173" s="106"/>
      <c r="F173" s="117"/>
      <c r="H173" s="101"/>
    </row>
    <row r="174" spans="1:8">
      <c r="A174" s="119"/>
      <c r="B174" s="106"/>
      <c r="C174" s="106"/>
      <c r="D174" s="106"/>
      <c r="E174" s="106"/>
      <c r="F174" s="117"/>
      <c r="H174" s="101"/>
    </row>
    <row r="175" spans="1:8">
      <c r="A175" s="119"/>
      <c r="B175" s="106"/>
      <c r="C175" s="106"/>
      <c r="D175" s="106"/>
      <c r="E175" s="106"/>
      <c r="F175" s="117"/>
      <c r="H175" s="101"/>
    </row>
    <row r="176" spans="1:8">
      <c r="A176" s="119"/>
      <c r="B176" s="106"/>
      <c r="C176" s="106"/>
      <c r="D176" s="106"/>
      <c r="E176" s="106"/>
      <c r="F176" s="117"/>
      <c r="H176" s="101"/>
    </row>
    <row r="177" spans="1:8">
      <c r="A177" s="119"/>
      <c r="B177" s="106"/>
      <c r="C177" s="106"/>
      <c r="D177" s="106"/>
      <c r="E177" s="106"/>
      <c r="F177" s="117"/>
      <c r="H177" s="101"/>
    </row>
    <row r="178" spans="1:8">
      <c r="A178" s="119"/>
      <c r="B178" s="106"/>
      <c r="C178" s="106"/>
      <c r="D178" s="106"/>
      <c r="E178" s="106"/>
      <c r="F178" s="117"/>
      <c r="H178" s="101"/>
    </row>
    <row r="179" spans="1:8">
      <c r="A179" s="119"/>
      <c r="B179" s="106"/>
      <c r="C179" s="106"/>
      <c r="D179" s="106"/>
      <c r="E179" s="106"/>
      <c r="F179" s="117"/>
      <c r="H179" s="101"/>
    </row>
    <row r="180" spans="1:8">
      <c r="A180" s="119"/>
      <c r="B180" s="106"/>
      <c r="C180" s="106"/>
      <c r="D180" s="106"/>
      <c r="E180" s="106"/>
      <c r="F180" s="117"/>
      <c r="H180" s="101"/>
    </row>
    <row r="181" spans="1:8">
      <c r="A181" s="119"/>
      <c r="B181" s="106"/>
      <c r="C181" s="106"/>
      <c r="D181" s="106"/>
      <c r="E181" s="106"/>
      <c r="F181" s="117"/>
      <c r="H181" s="101"/>
    </row>
    <row r="182" spans="1:8">
      <c r="A182" s="119"/>
      <c r="B182" s="106"/>
      <c r="C182" s="106"/>
      <c r="D182" s="106"/>
      <c r="E182" s="106"/>
      <c r="F182" s="117"/>
      <c r="H182" s="101"/>
    </row>
    <row r="183" spans="1:8">
      <c r="A183" s="119"/>
      <c r="B183" s="106"/>
      <c r="C183" s="106"/>
      <c r="D183" s="106"/>
      <c r="E183" s="106"/>
      <c r="F183" s="117"/>
      <c r="H183" s="101"/>
    </row>
    <row r="184" spans="1:8">
      <c r="A184" s="119"/>
      <c r="B184" s="106"/>
      <c r="C184" s="106"/>
      <c r="D184" s="106"/>
      <c r="E184" s="106"/>
      <c r="F184" s="117"/>
      <c r="H184" s="101"/>
    </row>
    <row r="185" spans="1:8">
      <c r="A185" s="119"/>
      <c r="B185" s="106"/>
      <c r="C185" s="106"/>
      <c r="D185" s="106"/>
      <c r="E185" s="106"/>
      <c r="F185" s="117"/>
      <c r="H185" s="101"/>
    </row>
    <row r="186" spans="1:8">
      <c r="A186" s="119"/>
      <c r="B186" s="106"/>
      <c r="C186" s="106"/>
      <c r="D186" s="106"/>
      <c r="E186" s="106"/>
      <c r="F186" s="117"/>
      <c r="H186" s="101"/>
    </row>
    <row r="187" spans="1:8">
      <c r="A187" s="119"/>
      <c r="B187" s="106"/>
      <c r="C187" s="106"/>
      <c r="D187" s="106"/>
      <c r="E187" s="106"/>
      <c r="F187" s="117"/>
      <c r="H187" s="101"/>
    </row>
    <row r="188" spans="1:8">
      <c r="A188" s="119"/>
      <c r="B188" s="106"/>
      <c r="C188" s="106"/>
      <c r="D188" s="106"/>
      <c r="E188" s="106"/>
      <c r="F188" s="117"/>
      <c r="H188" s="101"/>
    </row>
    <row r="189" spans="1:8">
      <c r="A189" s="119"/>
      <c r="B189" s="106"/>
      <c r="C189" s="106"/>
      <c r="D189" s="106"/>
      <c r="E189" s="106"/>
      <c r="F189" s="117"/>
      <c r="H189" s="101"/>
    </row>
    <row r="190" spans="1:8">
      <c r="A190" s="119"/>
      <c r="B190" s="106"/>
      <c r="C190" s="106"/>
      <c r="D190" s="106"/>
      <c r="E190" s="106"/>
      <c r="F190" s="117"/>
      <c r="H190" s="101"/>
    </row>
    <row r="191" spans="1:8">
      <c r="A191" s="119"/>
      <c r="B191" s="106"/>
      <c r="C191" s="106"/>
      <c r="D191" s="106"/>
      <c r="E191" s="106"/>
      <c r="F191" s="117"/>
      <c r="H191" s="101"/>
    </row>
    <row r="192" spans="1:8">
      <c r="A192" s="119"/>
      <c r="B192" s="106"/>
      <c r="C192" s="106"/>
      <c r="D192" s="106"/>
      <c r="E192" s="106"/>
      <c r="F192" s="117"/>
      <c r="H192" s="101"/>
    </row>
    <row r="193" spans="1:8">
      <c r="A193" s="119"/>
      <c r="B193" s="106"/>
      <c r="C193" s="106"/>
      <c r="D193" s="106"/>
      <c r="E193" s="106"/>
      <c r="F193" s="117"/>
      <c r="H193" s="101"/>
    </row>
    <row r="194" spans="1:8">
      <c r="A194" s="119"/>
      <c r="B194" s="106"/>
      <c r="C194" s="106"/>
      <c r="D194" s="106"/>
      <c r="E194" s="106"/>
      <c r="F194" s="117"/>
      <c r="H194" s="101"/>
    </row>
    <row r="195" spans="1:8">
      <c r="A195" s="119"/>
      <c r="B195" s="106"/>
      <c r="C195" s="106"/>
      <c r="D195" s="106"/>
      <c r="E195" s="106"/>
      <c r="F195" s="117"/>
      <c r="H195" s="101"/>
    </row>
    <row r="196" spans="1:8">
      <c r="A196" s="119"/>
      <c r="B196" s="106"/>
      <c r="C196" s="106"/>
      <c r="D196" s="106"/>
      <c r="E196" s="106"/>
      <c r="F196" s="117"/>
      <c r="H196" s="101"/>
    </row>
    <row r="197" spans="1:8">
      <c r="A197" s="119"/>
      <c r="B197" s="106"/>
      <c r="C197" s="106"/>
      <c r="D197" s="106"/>
      <c r="E197" s="106"/>
      <c r="F197" s="117"/>
      <c r="H197" s="101"/>
    </row>
    <row r="198" spans="1:8">
      <c r="A198" s="119"/>
      <c r="B198" s="106"/>
      <c r="C198" s="106"/>
      <c r="D198" s="106"/>
      <c r="E198" s="106"/>
      <c r="F198" s="117"/>
      <c r="H198" s="101"/>
    </row>
    <row r="199" spans="1:8">
      <c r="A199" s="119"/>
      <c r="B199" s="106"/>
      <c r="C199" s="106"/>
      <c r="D199" s="106"/>
      <c r="E199" s="106"/>
      <c r="F199" s="117"/>
      <c r="H199" s="101"/>
    </row>
    <row r="200" spans="1:8">
      <c r="A200" s="119"/>
      <c r="B200" s="106"/>
      <c r="C200" s="106"/>
      <c r="D200" s="106"/>
      <c r="E200" s="106"/>
      <c r="F200" s="117"/>
      <c r="H200" s="101"/>
    </row>
    <row r="201" spans="1:8">
      <c r="A201" s="119"/>
      <c r="B201" s="106"/>
      <c r="C201" s="106"/>
      <c r="D201" s="106"/>
      <c r="E201" s="106"/>
      <c r="F201" s="117"/>
      <c r="H201" s="101"/>
    </row>
    <row r="202" spans="1:8">
      <c r="A202" s="119"/>
      <c r="B202" s="106"/>
      <c r="C202" s="106"/>
      <c r="D202" s="106"/>
      <c r="E202" s="106"/>
      <c r="F202" s="117"/>
      <c r="H202" s="101"/>
    </row>
    <row r="203" spans="1:8">
      <c r="A203" s="119"/>
      <c r="B203" s="106"/>
      <c r="C203" s="106"/>
      <c r="D203" s="106"/>
      <c r="E203" s="106"/>
      <c r="F203" s="117"/>
      <c r="H203" s="101"/>
    </row>
    <row r="204" spans="1:8">
      <c r="A204" s="119"/>
      <c r="B204" s="106"/>
      <c r="C204" s="106"/>
      <c r="D204" s="106"/>
      <c r="E204" s="106"/>
      <c r="F204" s="117"/>
      <c r="H204" s="101"/>
    </row>
    <row r="205" spans="1:8">
      <c r="A205" s="119"/>
      <c r="B205" s="106"/>
      <c r="C205" s="106"/>
      <c r="D205" s="106"/>
      <c r="E205" s="106"/>
      <c r="F205" s="117"/>
      <c r="H205" s="101"/>
    </row>
    <row r="206" spans="1:8">
      <c r="A206" s="119"/>
      <c r="B206" s="106"/>
      <c r="C206" s="106"/>
      <c r="D206" s="106"/>
      <c r="E206" s="106"/>
      <c r="F206" s="117"/>
      <c r="H206" s="101"/>
    </row>
    <row r="207" spans="1:8">
      <c r="A207" s="119"/>
      <c r="B207" s="106"/>
      <c r="C207" s="106"/>
      <c r="D207" s="106"/>
      <c r="E207" s="106"/>
      <c r="F207" s="117"/>
      <c r="H207" s="101"/>
    </row>
    <row r="208" spans="1:8">
      <c r="A208" s="119"/>
      <c r="B208" s="106"/>
      <c r="C208" s="106"/>
      <c r="D208" s="106"/>
      <c r="E208" s="106"/>
      <c r="F208" s="117"/>
      <c r="H208" s="101"/>
    </row>
    <row r="209" spans="1:8">
      <c r="A209" s="119"/>
      <c r="B209" s="106"/>
      <c r="C209" s="106"/>
      <c r="D209" s="106"/>
      <c r="E209" s="106"/>
      <c r="F209" s="117"/>
      <c r="H209" s="101"/>
    </row>
    <row r="210" spans="1:8">
      <c r="A210" s="119"/>
      <c r="B210" s="106"/>
      <c r="C210" s="106"/>
      <c r="D210" s="106"/>
      <c r="E210" s="106"/>
      <c r="F210" s="117"/>
      <c r="H210" s="101"/>
    </row>
    <row r="211" spans="1:8">
      <c r="A211" s="119"/>
      <c r="B211" s="106"/>
      <c r="C211" s="106"/>
      <c r="D211" s="106"/>
      <c r="E211" s="106"/>
      <c r="F211" s="117"/>
      <c r="H211" s="101"/>
    </row>
    <row r="212" spans="1:8">
      <c r="A212" s="119"/>
      <c r="B212" s="106"/>
      <c r="C212" s="106"/>
      <c r="D212" s="106"/>
      <c r="E212" s="106"/>
      <c r="F212" s="117"/>
      <c r="H212" s="101"/>
    </row>
    <row r="213" spans="1:8">
      <c r="A213" s="119"/>
      <c r="B213" s="106"/>
      <c r="C213" s="106"/>
      <c r="D213" s="106"/>
      <c r="E213" s="106"/>
      <c r="F213" s="117"/>
      <c r="H213" s="101"/>
    </row>
    <row r="214" spans="1:8">
      <c r="A214" s="119"/>
      <c r="B214" s="106"/>
      <c r="C214" s="106"/>
      <c r="D214" s="106"/>
      <c r="E214" s="106"/>
      <c r="F214" s="117"/>
      <c r="H214" s="101"/>
    </row>
    <row r="215" spans="1:8">
      <c r="A215" s="119"/>
      <c r="B215" s="106"/>
      <c r="C215" s="106"/>
      <c r="D215" s="106"/>
      <c r="E215" s="106"/>
      <c r="F215" s="117"/>
      <c r="H215" s="101"/>
    </row>
    <row r="216" spans="1:8">
      <c r="A216" s="119"/>
      <c r="B216" s="106"/>
      <c r="C216" s="106"/>
      <c r="D216" s="106"/>
      <c r="E216" s="106"/>
      <c r="F216" s="117"/>
      <c r="H216" s="101"/>
    </row>
    <row r="217" spans="1:8">
      <c r="A217" s="119"/>
      <c r="B217" s="106"/>
      <c r="C217" s="106"/>
      <c r="D217" s="106"/>
      <c r="E217" s="106"/>
      <c r="F217" s="117"/>
      <c r="H217" s="101"/>
    </row>
    <row r="218" spans="1:8">
      <c r="A218" s="119"/>
      <c r="B218" s="106"/>
      <c r="C218" s="106"/>
      <c r="D218" s="106"/>
      <c r="E218" s="106"/>
      <c r="F218" s="117"/>
      <c r="H218" s="101"/>
    </row>
    <row r="219" spans="1:8">
      <c r="A219" s="119"/>
      <c r="B219" s="106"/>
      <c r="C219" s="106"/>
      <c r="D219" s="106"/>
      <c r="E219" s="106"/>
      <c r="F219" s="117"/>
      <c r="H219" s="101"/>
    </row>
    <row r="220" spans="1:8">
      <c r="A220" s="119"/>
      <c r="B220" s="106"/>
      <c r="C220" s="106"/>
      <c r="D220" s="106"/>
      <c r="E220" s="106"/>
      <c r="F220" s="117"/>
      <c r="H220" s="101"/>
    </row>
    <row r="221" spans="1:8">
      <c r="A221" s="119"/>
      <c r="B221" s="106"/>
      <c r="C221" s="106"/>
      <c r="D221" s="106"/>
      <c r="E221" s="106"/>
      <c r="F221" s="117"/>
      <c r="H221" s="101"/>
    </row>
    <row r="222" spans="1:8">
      <c r="A222" s="119"/>
      <c r="B222" s="106"/>
      <c r="C222" s="106"/>
      <c r="D222" s="106"/>
      <c r="E222" s="106"/>
      <c r="F222" s="117"/>
      <c r="H222" s="101"/>
    </row>
    <row r="223" spans="1:8">
      <c r="A223" s="119"/>
      <c r="B223" s="106"/>
      <c r="C223" s="106"/>
      <c r="D223" s="106"/>
      <c r="E223" s="106"/>
      <c r="F223" s="117"/>
      <c r="H223" s="101"/>
    </row>
    <row r="224" spans="1:8">
      <c r="A224" s="119"/>
      <c r="B224" s="106"/>
      <c r="C224" s="106"/>
      <c r="D224" s="106"/>
      <c r="E224" s="106"/>
      <c r="F224" s="117"/>
      <c r="H224" s="101"/>
    </row>
    <row r="225" spans="1:8">
      <c r="A225" s="119"/>
      <c r="B225" s="106"/>
      <c r="C225" s="106"/>
      <c r="D225" s="106"/>
      <c r="E225" s="106"/>
      <c r="F225" s="117"/>
      <c r="H225" s="101"/>
    </row>
    <row r="226" spans="1:8">
      <c r="A226" s="119"/>
      <c r="B226" s="106"/>
      <c r="C226" s="106"/>
      <c r="D226" s="106"/>
      <c r="E226" s="106"/>
      <c r="F226" s="117"/>
      <c r="H226" s="101"/>
    </row>
    <row r="227" spans="1:8">
      <c r="A227" s="119"/>
      <c r="B227" s="106"/>
      <c r="C227" s="106"/>
      <c r="D227" s="106"/>
      <c r="E227" s="106"/>
      <c r="F227" s="117"/>
      <c r="H227" s="101"/>
    </row>
    <row r="228" spans="1:8">
      <c r="A228" s="119"/>
      <c r="B228" s="106"/>
      <c r="C228" s="106"/>
      <c r="D228" s="106"/>
      <c r="E228" s="106"/>
      <c r="F228" s="117"/>
      <c r="H228" s="101"/>
    </row>
    <row r="229" spans="1:8">
      <c r="A229" s="119"/>
      <c r="B229" s="106"/>
      <c r="C229" s="106"/>
      <c r="D229" s="106"/>
      <c r="E229" s="106"/>
      <c r="F229" s="117"/>
      <c r="H229" s="101"/>
    </row>
    <row r="230" spans="1:8">
      <c r="A230" s="119"/>
      <c r="B230" s="106"/>
      <c r="C230" s="106"/>
      <c r="D230" s="106"/>
      <c r="E230" s="106"/>
      <c r="F230" s="117"/>
      <c r="H230" s="101"/>
    </row>
    <row r="231" spans="1:8">
      <c r="A231" s="119"/>
      <c r="B231" s="106"/>
      <c r="C231" s="106"/>
      <c r="D231" s="106"/>
      <c r="E231" s="106"/>
      <c r="F231" s="117"/>
      <c r="H231" s="101"/>
    </row>
    <row r="232" spans="1:8">
      <c r="A232" s="119"/>
      <c r="B232" s="106"/>
      <c r="C232" s="106"/>
      <c r="D232" s="106"/>
      <c r="E232" s="106"/>
      <c r="F232" s="117"/>
      <c r="H232" s="101"/>
    </row>
    <row r="233" spans="1:8">
      <c r="A233" s="119"/>
      <c r="B233" s="106"/>
      <c r="C233" s="106"/>
      <c r="D233" s="106"/>
      <c r="E233" s="106"/>
      <c r="F233" s="117"/>
      <c r="H233" s="101"/>
    </row>
    <row r="234" spans="1:8">
      <c r="A234" s="119"/>
      <c r="B234" s="106"/>
      <c r="C234" s="106"/>
      <c r="D234" s="106"/>
      <c r="E234" s="106"/>
      <c r="F234" s="117"/>
      <c r="H234" s="101"/>
    </row>
    <row r="235" spans="1:8">
      <c r="A235" s="119"/>
      <c r="B235" s="106"/>
      <c r="C235" s="106"/>
      <c r="D235" s="106"/>
      <c r="E235" s="106"/>
      <c r="F235" s="117"/>
      <c r="H235" s="101"/>
    </row>
    <row r="236" spans="1:8">
      <c r="A236" s="119"/>
      <c r="B236" s="106"/>
      <c r="C236" s="106"/>
      <c r="D236" s="106"/>
      <c r="E236" s="106"/>
      <c r="F236" s="117"/>
      <c r="H236" s="101"/>
    </row>
    <row r="237" spans="1:8">
      <c r="A237" s="119"/>
      <c r="B237" s="106"/>
      <c r="C237" s="106"/>
      <c r="D237" s="106"/>
      <c r="E237" s="106"/>
      <c r="F237" s="117"/>
      <c r="H237" s="101"/>
    </row>
    <row r="238" spans="1:8">
      <c r="A238" s="119"/>
      <c r="B238" s="106"/>
      <c r="C238" s="106"/>
      <c r="D238" s="106"/>
      <c r="E238" s="106"/>
      <c r="F238" s="117"/>
      <c r="H238" s="101"/>
    </row>
    <row r="239" spans="1:8">
      <c r="A239" s="119"/>
      <c r="B239" s="106"/>
      <c r="C239" s="106"/>
      <c r="D239" s="106"/>
      <c r="E239" s="106"/>
      <c r="F239" s="117"/>
      <c r="H239" s="101"/>
    </row>
    <row r="240" spans="1:8">
      <c r="A240" s="119"/>
      <c r="B240" s="106"/>
      <c r="C240" s="106"/>
      <c r="D240" s="106"/>
      <c r="E240" s="106"/>
      <c r="F240" s="117"/>
      <c r="H240" s="101"/>
    </row>
    <row r="241" spans="1:8">
      <c r="A241" s="119"/>
      <c r="B241" s="106"/>
      <c r="C241" s="106"/>
      <c r="D241" s="106"/>
      <c r="E241" s="106"/>
      <c r="F241" s="117"/>
      <c r="H241" s="101"/>
    </row>
    <row r="242" spans="1:8">
      <c r="A242" s="119"/>
      <c r="B242" s="106"/>
      <c r="C242" s="106"/>
      <c r="D242" s="106"/>
      <c r="E242" s="106"/>
      <c r="F242" s="117"/>
      <c r="H242" s="101"/>
    </row>
    <row r="243" spans="1:8">
      <c r="A243" s="119"/>
      <c r="B243" s="106"/>
      <c r="C243" s="106"/>
      <c r="D243" s="106"/>
      <c r="E243" s="106"/>
      <c r="F243" s="117"/>
      <c r="H243" s="101"/>
    </row>
    <row r="244" spans="1:8">
      <c r="A244" s="119"/>
      <c r="B244" s="106"/>
      <c r="C244" s="106"/>
      <c r="D244" s="106"/>
      <c r="E244" s="106"/>
      <c r="F244" s="117"/>
      <c r="H244" s="101"/>
    </row>
    <row r="245" spans="1:8">
      <c r="A245" s="119"/>
      <c r="B245" s="106"/>
      <c r="C245" s="106"/>
      <c r="D245" s="106"/>
      <c r="E245" s="106"/>
      <c r="F245" s="117"/>
      <c r="H245" s="101"/>
    </row>
    <row r="246" spans="1:8">
      <c r="A246" s="119"/>
      <c r="B246" s="106"/>
      <c r="C246" s="106"/>
      <c r="D246" s="106"/>
      <c r="E246" s="106"/>
      <c r="F246" s="117"/>
      <c r="H246" s="101"/>
    </row>
    <row r="247" spans="1:8">
      <c r="A247" s="119"/>
      <c r="B247" s="106"/>
      <c r="C247" s="106"/>
      <c r="D247" s="106"/>
      <c r="E247" s="106"/>
      <c r="F247" s="117"/>
      <c r="H247" s="101"/>
    </row>
    <row r="248" spans="1:8">
      <c r="A248" s="119"/>
      <c r="B248" s="106"/>
      <c r="C248" s="106"/>
      <c r="D248" s="106"/>
      <c r="E248" s="106"/>
      <c r="F248" s="117"/>
      <c r="H248" s="101"/>
    </row>
    <row r="249" spans="1:8">
      <c r="A249" s="119"/>
      <c r="B249" s="106"/>
      <c r="C249" s="106"/>
      <c r="D249" s="106"/>
      <c r="E249" s="106"/>
      <c r="F249" s="117"/>
      <c r="H249" s="101"/>
    </row>
    <row r="250" spans="1:8">
      <c r="A250" s="119"/>
      <c r="B250" s="106"/>
      <c r="C250" s="106"/>
      <c r="D250" s="106"/>
      <c r="E250" s="106"/>
      <c r="F250" s="117"/>
      <c r="H250" s="101"/>
    </row>
    <row r="251" spans="1:8">
      <c r="A251" s="119"/>
      <c r="B251" s="106"/>
      <c r="C251" s="106"/>
      <c r="D251" s="106"/>
      <c r="E251" s="106"/>
      <c r="F251" s="117"/>
      <c r="H251" s="101"/>
    </row>
    <row r="252" spans="1:8">
      <c r="A252" s="119"/>
      <c r="B252" s="106"/>
      <c r="C252" s="106"/>
      <c r="D252" s="106"/>
      <c r="E252" s="106"/>
      <c r="F252" s="117"/>
      <c r="H252" s="101"/>
    </row>
    <row r="253" spans="1:8">
      <c r="A253" s="119"/>
      <c r="B253" s="106"/>
      <c r="C253" s="106"/>
      <c r="D253" s="106"/>
      <c r="E253" s="106"/>
      <c r="F253" s="117"/>
      <c r="H253" s="101"/>
    </row>
    <row r="254" spans="1:8">
      <c r="A254" s="119"/>
      <c r="B254" s="106"/>
      <c r="C254" s="106"/>
      <c r="D254" s="106"/>
      <c r="E254" s="106"/>
      <c r="F254" s="117"/>
      <c r="H254" s="101"/>
    </row>
    <row r="255" spans="1:8">
      <c r="A255" s="119"/>
      <c r="B255" s="106"/>
      <c r="C255" s="106"/>
      <c r="D255" s="106"/>
      <c r="E255" s="106"/>
      <c r="F255" s="117"/>
      <c r="H255" s="101"/>
    </row>
    <row r="256" spans="1:8">
      <c r="A256" s="119"/>
      <c r="B256" s="106"/>
      <c r="C256" s="106"/>
      <c r="D256" s="106"/>
      <c r="E256" s="106"/>
      <c r="F256" s="117"/>
      <c r="H256" s="101"/>
    </row>
    <row r="257" spans="1:8">
      <c r="A257" s="119"/>
      <c r="B257" s="106"/>
      <c r="C257" s="106"/>
      <c r="D257" s="106"/>
      <c r="E257" s="106"/>
      <c r="F257" s="117"/>
      <c r="H257" s="101"/>
    </row>
    <row r="258" spans="1:8">
      <c r="A258" s="119"/>
      <c r="B258" s="106"/>
      <c r="C258" s="106"/>
      <c r="D258" s="106"/>
      <c r="E258" s="106"/>
      <c r="F258" s="117"/>
      <c r="H258" s="101"/>
    </row>
    <row r="259" spans="1:8">
      <c r="A259" s="119"/>
      <c r="B259" s="106"/>
      <c r="C259" s="106"/>
      <c r="D259" s="106"/>
      <c r="E259" s="106"/>
      <c r="F259" s="117"/>
      <c r="H259" s="10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A601-37C8-45DD-8795-7DE61099B3FF}">
  <dimension ref="A1:I18"/>
  <sheetViews>
    <sheetView workbookViewId="0">
      <selection activeCell="B18" sqref="B18"/>
    </sheetView>
  </sheetViews>
  <sheetFormatPr defaultRowHeight="14.45"/>
  <cols>
    <col min="2" max="2" width="12.7109375" bestFit="1" customWidth="1"/>
  </cols>
  <sheetData>
    <row r="1" spans="1:9">
      <c r="A1" t="s">
        <v>1581</v>
      </c>
    </row>
    <row r="2" spans="1:9" ht="15" thickBot="1"/>
    <row r="3" spans="1:9">
      <c r="A3" s="109" t="s">
        <v>1582</v>
      </c>
      <c r="B3" s="109"/>
    </row>
    <row r="4" spans="1:9">
      <c r="A4" t="s">
        <v>1583</v>
      </c>
      <c r="B4">
        <v>0.64617633729807367</v>
      </c>
    </row>
    <row r="5" spans="1:9">
      <c r="A5" t="s">
        <v>1584</v>
      </c>
      <c r="B5">
        <v>0.41754385888395384</v>
      </c>
    </row>
    <row r="6" spans="1:9">
      <c r="A6" t="s">
        <v>1585</v>
      </c>
      <c r="B6">
        <v>0.40732533009244426</v>
      </c>
    </row>
    <row r="7" spans="1:9">
      <c r="A7" t="s">
        <v>1586</v>
      </c>
      <c r="B7">
        <v>8.0761932984396378E-2</v>
      </c>
    </row>
    <row r="8" spans="1:9" ht="15" thickBot="1">
      <c r="A8" s="107" t="s">
        <v>1587</v>
      </c>
      <c r="B8" s="107">
        <v>59</v>
      </c>
    </row>
    <row r="10" spans="1:9" ht="15" thickBot="1">
      <c r="A10" t="s">
        <v>1588</v>
      </c>
    </row>
    <row r="11" spans="1:9">
      <c r="A11" s="108"/>
      <c r="B11" s="108" t="s">
        <v>1589</v>
      </c>
      <c r="C11" s="108" t="s">
        <v>1590</v>
      </c>
      <c r="D11" s="108" t="s">
        <v>1591</v>
      </c>
      <c r="E11" s="108" t="s">
        <v>1592</v>
      </c>
      <c r="F11" s="108" t="s">
        <v>1593</v>
      </c>
    </row>
    <row r="12" spans="1:9">
      <c r="A12" t="s">
        <v>1594</v>
      </c>
      <c r="B12">
        <v>1</v>
      </c>
      <c r="C12">
        <v>0.26651836328694062</v>
      </c>
      <c r="D12">
        <v>0.26651836328694062</v>
      </c>
      <c r="E12">
        <v>40.861445654572563</v>
      </c>
      <c r="F12">
        <v>3.2509378623417233E-8</v>
      </c>
    </row>
    <row r="13" spans="1:9">
      <c r="A13" t="s">
        <v>1595</v>
      </c>
      <c r="B13">
        <v>57</v>
      </c>
      <c r="C13">
        <v>0.37178191970443947</v>
      </c>
      <c r="D13">
        <v>6.5224898193761314E-3</v>
      </c>
    </row>
    <row r="14" spans="1:9" ht="15" thickBot="1">
      <c r="A14" s="107" t="s">
        <v>112</v>
      </c>
      <c r="B14" s="107">
        <v>58</v>
      </c>
      <c r="C14" s="107">
        <v>0.63830028299138009</v>
      </c>
      <c r="D14" s="107"/>
      <c r="E14" s="107"/>
      <c r="F14" s="107"/>
    </row>
    <row r="15" spans="1:9" ht="15" thickBot="1"/>
    <row r="16" spans="1:9">
      <c r="A16" s="108"/>
      <c r="B16" s="108" t="s">
        <v>1596</v>
      </c>
      <c r="C16" s="108" t="s">
        <v>1586</v>
      </c>
      <c r="D16" s="108" t="s">
        <v>1597</v>
      </c>
      <c r="E16" s="108" t="s">
        <v>1598</v>
      </c>
      <c r="F16" s="108" t="s">
        <v>1599</v>
      </c>
      <c r="G16" s="108" t="s">
        <v>1600</v>
      </c>
      <c r="H16" s="108" t="s">
        <v>1601</v>
      </c>
      <c r="I16" s="108" t="s">
        <v>1602</v>
      </c>
    </row>
    <row r="17" spans="1:9">
      <c r="A17" t="s">
        <v>1603</v>
      </c>
      <c r="B17">
        <v>-1.3842485751844189E-2</v>
      </c>
      <c r="C17">
        <v>1.1502802705385472E-2</v>
      </c>
      <c r="D17">
        <v>-1.2034011280888359</v>
      </c>
      <c r="E17">
        <v>0.23379543590506704</v>
      </c>
      <c r="F17">
        <v>-3.6876450854417736E-2</v>
      </c>
      <c r="G17">
        <v>9.1914793507293611E-3</v>
      </c>
      <c r="H17">
        <v>-3.6876450854417736E-2</v>
      </c>
      <c r="I17">
        <v>9.1914793507293611E-3</v>
      </c>
    </row>
    <row r="18" spans="1:9" ht="15" thickBot="1">
      <c r="A18" s="107" t="s">
        <v>1604</v>
      </c>
      <c r="B18" s="107">
        <v>1.2900966752615854</v>
      </c>
      <c r="C18" s="107">
        <v>0.20182055315969369</v>
      </c>
      <c r="D18" s="107">
        <v>6.3922958046833624</v>
      </c>
      <c r="E18" s="107">
        <v>3.2509378623417644E-8</v>
      </c>
      <c r="F18" s="107">
        <v>0.88595798858429442</v>
      </c>
      <c r="G18" s="107">
        <v>1.6942353619388766</v>
      </c>
      <c r="H18" s="107">
        <v>0.88595798858429442</v>
      </c>
      <c r="I18" s="107">
        <v>1.6942353619388766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681284-B9BF-4B3A-BB21-9FC4518606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Taaha Hasnain</dc:creator>
  <cp:keywords/>
  <dc:description/>
  <cp:lastModifiedBy>Taaha Hasnain</cp:lastModifiedBy>
  <cp:revision/>
  <dcterms:created xsi:type="dcterms:W3CDTF">2025-09-06T14:14:48Z</dcterms:created>
  <dcterms:modified xsi:type="dcterms:W3CDTF">2025-11-09T21:03:52Z</dcterms:modified>
  <cp:category/>
  <cp:contentStatus/>
</cp:coreProperties>
</file>