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15000" windowHeight="7872" activeTab="1"/>
  </bookViews>
  <sheets>
    <sheet name="Printz (liver)" sheetId="1" r:id="rId1"/>
    <sheet name="Pravenec" sheetId="2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G21" i="3" l="1"/>
  <c r="G20" i="3"/>
  <c r="G19" i="3"/>
  <c r="G18" i="3"/>
  <c r="G17" i="3"/>
  <c r="G16" i="3"/>
  <c r="G15" i="3"/>
  <c r="G14" i="3"/>
  <c r="G12" i="3"/>
  <c r="G11" i="3"/>
  <c r="G10" i="3"/>
  <c r="G9" i="3"/>
  <c r="G8" i="3"/>
  <c r="G7" i="3"/>
  <c r="G6" i="3"/>
  <c r="G5" i="3"/>
  <c r="G143" i="2"/>
  <c r="K127" i="2"/>
  <c r="L127" i="2" s="1"/>
  <c r="G127" i="2"/>
  <c r="R110" i="2"/>
  <c r="Q110" i="2"/>
  <c r="G110" i="2"/>
  <c r="K94" i="2"/>
  <c r="L94" i="2" s="1"/>
  <c r="G94" i="2"/>
  <c r="B15" i="3"/>
  <c r="B17" i="3"/>
  <c r="C17" i="3" s="1"/>
  <c r="B20" i="3"/>
  <c r="C20" i="3" s="1"/>
  <c r="B21" i="3"/>
  <c r="C21" i="3" s="1"/>
  <c r="B12" i="3"/>
  <c r="C12" i="3" s="1"/>
  <c r="B19" i="3"/>
  <c r="B18" i="3"/>
  <c r="B16" i="3"/>
  <c r="C16" i="3" s="1"/>
  <c r="B14" i="3"/>
  <c r="B11" i="3"/>
  <c r="B10" i="3"/>
  <c r="C10" i="3" s="1"/>
  <c r="B9" i="3"/>
  <c r="C9" i="3" s="1"/>
  <c r="B8" i="3"/>
  <c r="C8" i="3" s="1"/>
  <c r="B7" i="3"/>
  <c r="B6" i="3"/>
  <c r="C6" i="3" s="1"/>
  <c r="B5" i="3"/>
  <c r="C5" i="3" s="1"/>
  <c r="G128" i="2"/>
  <c r="C19" i="3"/>
  <c r="C18" i="3"/>
  <c r="C15" i="3"/>
  <c r="C14" i="3"/>
  <c r="C11" i="3"/>
  <c r="C7" i="3"/>
  <c r="C36" i="4" l="1"/>
  <c r="C31" i="4"/>
  <c r="C32" i="4"/>
  <c r="C33" i="4"/>
  <c r="C34" i="4"/>
  <c r="C35" i="4"/>
  <c r="C30" i="4"/>
  <c r="B38" i="4"/>
  <c r="G35" i="4"/>
  <c r="H33" i="4"/>
  <c r="G33" i="4"/>
  <c r="F33" i="4"/>
  <c r="G4" i="4"/>
  <c r="H24" i="4"/>
  <c r="G24" i="4"/>
  <c r="G25" i="4"/>
  <c r="H25" i="4" s="1"/>
  <c r="F32" i="4"/>
  <c r="F31" i="4"/>
  <c r="F29" i="4"/>
  <c r="F30" i="4"/>
  <c r="F24" i="4"/>
  <c r="F25" i="4"/>
  <c r="F26" i="4" s="1"/>
  <c r="F27" i="4" s="1"/>
  <c r="F28" i="4" s="1"/>
  <c r="H6" i="4"/>
  <c r="G6" i="4"/>
  <c r="G7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5" i="4"/>
  <c r="H4" i="4"/>
  <c r="H5" i="4"/>
  <c r="G5" i="4"/>
  <c r="G26" i="4" l="1"/>
  <c r="H7" i="4"/>
  <c r="G8" i="4" s="1"/>
  <c r="E15" i="4"/>
  <c r="C21" i="4"/>
  <c r="C20" i="4"/>
  <c r="C15" i="4"/>
  <c r="B15" i="4"/>
  <c r="C17" i="4"/>
  <c r="B17" i="4"/>
  <c r="C16" i="4"/>
  <c r="B16" i="4"/>
  <c r="H26" i="4" l="1"/>
  <c r="G27" i="4" s="1"/>
  <c r="H8" i="4"/>
  <c r="G9" i="4" s="1"/>
  <c r="Q58" i="2"/>
  <c r="H14" i="3" s="1"/>
  <c r="Q109" i="2"/>
  <c r="H21" i="3" s="1"/>
  <c r="Q96" i="2"/>
  <c r="H6" i="3" s="1"/>
  <c r="Q97" i="2"/>
  <c r="H7" i="3" s="1"/>
  <c r="Q98" i="2"/>
  <c r="H8" i="3" s="1"/>
  <c r="Q99" i="2"/>
  <c r="Q100" i="2"/>
  <c r="H10" i="3" s="1"/>
  <c r="Q101" i="2"/>
  <c r="Q102" i="2"/>
  <c r="H12" i="3" s="1"/>
  <c r="Q103" i="2"/>
  <c r="Q104" i="2"/>
  <c r="H16" i="3" s="1"/>
  <c r="Q105" i="2"/>
  <c r="Q106" i="2"/>
  <c r="H18" i="3" s="1"/>
  <c r="Q107" i="2"/>
  <c r="Q108" i="2"/>
  <c r="H20" i="3" s="1"/>
  <c r="Q95" i="2"/>
  <c r="H5" i="3" s="1"/>
  <c r="Q71" i="2"/>
  <c r="Q70" i="2"/>
  <c r="K80" i="2"/>
  <c r="L80" i="2" s="1"/>
  <c r="K81" i="2"/>
  <c r="K82" i="2"/>
  <c r="K83" i="2"/>
  <c r="K84" i="2"/>
  <c r="K85" i="2"/>
  <c r="K86" i="2"/>
  <c r="K87" i="2"/>
  <c r="K88" i="2"/>
  <c r="L88" i="2" s="1"/>
  <c r="K89" i="2"/>
  <c r="K90" i="2"/>
  <c r="L90" i="2" s="1"/>
  <c r="K91" i="2"/>
  <c r="L91" i="2" s="1"/>
  <c r="K92" i="2"/>
  <c r="L92" i="2" s="1"/>
  <c r="K93" i="2"/>
  <c r="K79" i="2"/>
  <c r="L79" i="2" s="1"/>
  <c r="L93" i="2"/>
  <c r="G97" i="2"/>
  <c r="R97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6" i="2"/>
  <c r="G95" i="2"/>
  <c r="R102" i="2" l="1"/>
  <c r="R96" i="2"/>
  <c r="R98" i="2"/>
  <c r="R106" i="2"/>
  <c r="R107" i="2"/>
  <c r="H19" i="3"/>
  <c r="R105" i="2"/>
  <c r="H17" i="3"/>
  <c r="R103" i="2"/>
  <c r="H15" i="3"/>
  <c r="R101" i="2"/>
  <c r="H11" i="3"/>
  <c r="R99" i="2"/>
  <c r="H9" i="3"/>
  <c r="R100" i="2"/>
  <c r="R104" i="2"/>
  <c r="R108" i="2"/>
  <c r="R95" i="2"/>
  <c r="R109" i="2"/>
  <c r="H27" i="4"/>
  <c r="G28" i="4" s="1"/>
  <c r="H9" i="4"/>
  <c r="G10" i="4" s="1"/>
  <c r="G93" i="2"/>
  <c r="H28" i="4" l="1"/>
  <c r="G29" i="4" s="1"/>
  <c r="H10" i="4"/>
  <c r="G11" i="4" s="1"/>
  <c r="R93" i="2"/>
  <c r="G91" i="2"/>
  <c r="R91" i="2"/>
  <c r="R92" i="2"/>
  <c r="G92" i="2"/>
  <c r="R90" i="2"/>
  <c r="G90" i="2"/>
  <c r="R89" i="2"/>
  <c r="L89" i="2"/>
  <c r="G89" i="2"/>
  <c r="G88" i="2"/>
  <c r="R88" i="2"/>
  <c r="R87" i="2"/>
  <c r="L87" i="2"/>
  <c r="G87" i="2"/>
  <c r="R86" i="2"/>
  <c r="L86" i="2"/>
  <c r="G86" i="2"/>
  <c r="R85" i="2"/>
  <c r="L85" i="2"/>
  <c r="G85" i="2"/>
  <c r="R84" i="2"/>
  <c r="L84" i="2"/>
  <c r="G84" i="2"/>
  <c r="G82" i="2"/>
  <c r="G81" i="2"/>
  <c r="G80" i="2"/>
  <c r="R83" i="2"/>
  <c r="L83" i="2"/>
  <c r="G83" i="2"/>
  <c r="R82" i="2"/>
  <c r="L82" i="2"/>
  <c r="R81" i="2"/>
  <c r="L81" i="2"/>
  <c r="R80" i="2"/>
  <c r="G79" i="2"/>
  <c r="H29" i="4" l="1"/>
  <c r="G30" i="4" s="1"/>
  <c r="H11" i="4"/>
  <c r="G12" i="4" s="1"/>
  <c r="K41" i="2"/>
  <c r="H30" i="4" l="1"/>
  <c r="G31" i="4" s="1"/>
  <c r="H12" i="4"/>
  <c r="G13" i="4" s="1"/>
  <c r="G43" i="2"/>
  <c r="K43" i="2"/>
  <c r="L43" i="2" s="1"/>
  <c r="Q43" i="2"/>
  <c r="R43" i="2" s="1"/>
  <c r="Q60" i="2"/>
  <c r="Q45" i="2"/>
  <c r="Q46" i="2"/>
  <c r="Q47" i="2"/>
  <c r="Q48" i="2"/>
  <c r="Q49" i="2"/>
  <c r="Q50" i="2"/>
  <c r="Q51" i="2"/>
  <c r="Q52" i="2"/>
  <c r="Q53" i="2"/>
  <c r="Q54" i="2"/>
  <c r="Q55" i="2"/>
  <c r="Q57" i="2"/>
  <c r="Q44" i="2"/>
  <c r="H31" i="4" l="1"/>
  <c r="G32" i="4" s="1"/>
  <c r="H32" i="4" s="1"/>
  <c r="H13" i="4"/>
  <c r="G14" i="4" s="1"/>
  <c r="R45" i="2"/>
  <c r="K28" i="2"/>
  <c r="L28" i="2" s="1"/>
  <c r="K29" i="2"/>
  <c r="K30" i="2"/>
  <c r="K31" i="2"/>
  <c r="K32" i="2"/>
  <c r="K33" i="2"/>
  <c r="K34" i="2"/>
  <c r="L34" i="2" s="1"/>
  <c r="K35" i="2"/>
  <c r="K36" i="2"/>
  <c r="K37" i="2"/>
  <c r="L37" i="2" s="1"/>
  <c r="K38" i="2"/>
  <c r="L38" i="2" s="1"/>
  <c r="K39" i="2"/>
  <c r="K40" i="2"/>
  <c r="L40" i="2" s="1"/>
  <c r="K27" i="2"/>
  <c r="H14" i="4" l="1"/>
  <c r="G15" i="4" s="1"/>
  <c r="L27" i="2"/>
  <c r="L41" i="2"/>
  <c r="L39" i="2"/>
  <c r="L35" i="2"/>
  <c r="L33" i="2"/>
  <c r="L31" i="2"/>
  <c r="L29" i="2"/>
  <c r="L36" i="2"/>
  <c r="L32" i="2"/>
  <c r="L30" i="2"/>
  <c r="Q17" i="2"/>
  <c r="H15" i="4" l="1"/>
  <c r="G16" i="4" s="1"/>
  <c r="R70" i="2"/>
  <c r="R71" i="2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H16" i="4" l="1"/>
  <c r="G17" i="4" s="1"/>
  <c r="K62" i="2"/>
  <c r="L62" i="2" s="1"/>
  <c r="G71" i="2"/>
  <c r="G72" i="2"/>
  <c r="G73" i="2"/>
  <c r="G74" i="2"/>
  <c r="G75" i="2"/>
  <c r="G76" i="2"/>
  <c r="G77" i="2"/>
  <c r="G70" i="2"/>
  <c r="G69" i="2"/>
  <c r="G63" i="2"/>
  <c r="G64" i="2"/>
  <c r="G65" i="2"/>
  <c r="G66" i="2"/>
  <c r="G67" i="2"/>
  <c r="G68" i="2"/>
  <c r="G62" i="2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K63" i="2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R61" i="2"/>
  <c r="R62" i="2"/>
  <c r="R63" i="2"/>
  <c r="R64" i="2"/>
  <c r="R65" i="2"/>
  <c r="R66" i="2"/>
  <c r="R68" i="2"/>
  <c r="R69" i="2"/>
  <c r="R67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44" i="2"/>
  <c r="R60" i="2"/>
  <c r="R58" i="2"/>
  <c r="R59" i="2"/>
  <c r="R44" i="2"/>
  <c r="R46" i="2"/>
  <c r="R47" i="2"/>
  <c r="R48" i="2"/>
  <c r="R50" i="2"/>
  <c r="R49" i="2"/>
  <c r="R51" i="2"/>
  <c r="R53" i="2"/>
  <c r="R55" i="2"/>
  <c r="R56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7" i="2"/>
  <c r="G9" i="2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G18" i="2"/>
  <c r="G19" i="2"/>
  <c r="G20" i="2"/>
  <c r="G21" i="2"/>
  <c r="G22" i="2"/>
  <c r="G23" i="2"/>
  <c r="G24" i="2"/>
  <c r="G17" i="2"/>
  <c r="R17" i="2"/>
  <c r="H17" i="4" l="1"/>
  <c r="G18" i="4" s="1"/>
  <c r="L63" i="2"/>
  <c r="K9" i="2"/>
  <c r="R40" i="2"/>
  <c r="R41" i="2"/>
  <c r="R42" i="2"/>
  <c r="R52" i="2"/>
  <c r="R54" i="2"/>
  <c r="R57" i="2"/>
  <c r="H18" i="4" l="1"/>
  <c r="G19" i="4" s="1"/>
  <c r="O3" i="1"/>
  <c r="K10" i="2"/>
  <c r="K11" i="2"/>
  <c r="K12" i="2"/>
  <c r="K13" i="2"/>
  <c r="K14" i="2"/>
  <c r="K15" i="2"/>
  <c r="K16" i="2"/>
  <c r="H19" i="4" l="1"/>
  <c r="G20" i="4" s="1"/>
  <c r="L9" i="2"/>
  <c r="L13" i="2"/>
  <c r="L15" i="2"/>
  <c r="G2" i="2"/>
  <c r="G12" i="2"/>
  <c r="G11" i="2"/>
  <c r="G10" i="2"/>
  <c r="L16" i="2"/>
  <c r="G16" i="2"/>
  <c r="G15" i="2"/>
  <c r="L14" i="2"/>
  <c r="G14" i="2"/>
  <c r="G13" i="2"/>
  <c r="L12" i="2"/>
  <c r="L11" i="2"/>
  <c r="L10" i="2"/>
  <c r="H20" i="4" l="1"/>
  <c r="G21" i="4" s="1"/>
  <c r="G3" i="2"/>
  <c r="G4" i="2"/>
  <c r="G5" i="2"/>
  <c r="G6" i="2"/>
  <c r="G7" i="2"/>
  <c r="H21" i="4" l="1"/>
  <c r="G22" i="4" s="1"/>
  <c r="I3" i="1"/>
  <c r="H22" i="4" l="1"/>
  <c r="G23" i="4" s="1"/>
  <c r="H23" i="4" s="1"/>
  <c r="I8" i="1"/>
  <c r="J8" i="1" s="1"/>
  <c r="I7" i="1"/>
  <c r="I6" i="1"/>
  <c r="J6" i="1" s="1"/>
  <c r="I5" i="1"/>
  <c r="J5" i="1" s="1"/>
  <c r="I4" i="1"/>
  <c r="J7" i="1"/>
  <c r="J4" i="1"/>
  <c r="J3" i="1"/>
  <c r="O4" i="1"/>
  <c r="P4" i="1" s="1"/>
  <c r="O6" i="1"/>
  <c r="O7" i="1"/>
  <c r="P7" i="1" s="1"/>
  <c r="O8" i="1"/>
  <c r="P8" i="1" s="1"/>
  <c r="P3" i="1"/>
  <c r="P6" i="1"/>
  <c r="D9" i="1" l="1"/>
  <c r="D3" i="1"/>
  <c r="D4" i="1"/>
  <c r="D6" i="1"/>
  <c r="D7" i="1"/>
  <c r="D8" i="1"/>
  <c r="D5" i="1"/>
  <c r="E5" i="1" l="1"/>
  <c r="F5" i="1" s="1"/>
  <c r="E7" i="1"/>
  <c r="E6" i="1"/>
  <c r="E4" i="1"/>
  <c r="E3" i="1"/>
  <c r="E8" i="1"/>
  <c r="F8" i="1" s="1"/>
  <c r="E9" i="1"/>
  <c r="F9" i="1" s="1"/>
  <c r="F7" i="1" l="1"/>
  <c r="F6" i="1"/>
  <c r="F4" i="1"/>
  <c r="F3" i="1"/>
</calcChain>
</file>

<file path=xl/sharedStrings.xml><?xml version="1.0" encoding="utf-8"?>
<sst xmlns="http://schemas.openxmlformats.org/spreadsheetml/2006/main" count="674" uniqueCount="208">
  <si>
    <t>Sample Name</t>
  </si>
  <si>
    <t>Vol. of H2O</t>
  </si>
  <si>
    <t>SHR_H 2 brain total RNA 01292014</t>
  </si>
  <si>
    <t>SHR_H 4 brain total RNA 01292014</t>
  </si>
  <si>
    <t>BN_LX 1 brain total RNA 01292014</t>
  </si>
  <si>
    <t>BN_LX 2 brain total RNA 01292014</t>
  </si>
  <si>
    <t>BN_LX 3 brain total RNA 01292014</t>
  </si>
  <si>
    <t>SHR_H 1 liver total RNA 02052014</t>
  </si>
  <si>
    <t>SHR_H 5 liver total RNA 02052014</t>
  </si>
  <si>
    <t>BN_LX 1 liver total RNA 02052014</t>
  </si>
  <si>
    <t>BN_LX 2 liver total RNA 02052014</t>
  </si>
  <si>
    <t>BN_LX 3 liver total RNA 02052014</t>
  </si>
  <si>
    <t>BN_LX 5 liver total RNA 02052014</t>
  </si>
  <si>
    <t>+</t>
  </si>
  <si>
    <t>Source of 
sample</t>
  </si>
  <si>
    <t>Pravenec</t>
  </si>
  <si>
    <t>Printz</t>
  </si>
  <si>
    <t>n/a</t>
  </si>
  <si>
    <t>vol for 1ug small RNA</t>
  </si>
  <si>
    <t>vol for 1ug
cleaned total RNA</t>
  </si>
  <si>
    <t>Mix 1/Mix 2</t>
  </si>
  <si>
    <t>vol. of ERCC
spike control (1:100)</t>
  </si>
  <si>
    <t>SHR_H L25 liver total RNA 09302010</t>
  </si>
  <si>
    <t>cDNA concentration measurement
(ng/uL)</t>
  </si>
  <si>
    <t>library preped on 2/24/2014</t>
  </si>
  <si>
    <t>library preped on 2/21/2014</t>
  </si>
  <si>
    <t>Tissue type</t>
  </si>
  <si>
    <t>half brain</t>
  </si>
  <si>
    <t>left ventricle heart</t>
  </si>
  <si>
    <t>Vol. of H2O2</t>
  </si>
  <si>
    <t>Date of small RNA 
clean up</t>
  </si>
  <si>
    <t>Cleaned total RNA Concentration
(ng/uL)</t>
  </si>
  <si>
    <t>Vol. of H2O3</t>
  </si>
  <si>
    <t>Cleaned Total RNA
concentration
(ng/uL)</t>
  </si>
  <si>
    <t>Total RNA concentration
(ng/uL)</t>
  </si>
  <si>
    <t>ug of total RNA
 eluted</t>
  </si>
  <si>
    <t>Sample Vol. for
100 ug total RNA</t>
  </si>
  <si>
    <t>Small RNA 
concentration
(ng/uL)</t>
  </si>
  <si>
    <t>Total RNA library
 Adaptor Index</t>
  </si>
  <si>
    <t>Sample name</t>
  </si>
  <si>
    <t>Vol. of H2O
(uL)</t>
  </si>
  <si>
    <t>Vol. of H2O
(uL)2</t>
  </si>
  <si>
    <t>Small RNA library 
Adapter Index</t>
  </si>
  <si>
    <t>Total RNA cDNA concentration 
measurement (ng/uL)</t>
  </si>
  <si>
    <t>Small RNA cDNA concentration measurement
(ng/uL)4</t>
  </si>
  <si>
    <t>Date of extraction</t>
  </si>
  <si>
    <t xml:space="preserve">SHR_H 1 LV total RNA </t>
  </si>
  <si>
    <t xml:space="preserve">SHR_H 2 LV total RNA </t>
  </si>
  <si>
    <t xml:space="preserve">SHR_H 3 LV total RNA </t>
  </si>
  <si>
    <t xml:space="preserve">SHR_H 4 LV total RNA </t>
  </si>
  <si>
    <t xml:space="preserve">BN_LX 1 LV total RNA </t>
  </si>
  <si>
    <t xml:space="preserve">BN_LX 2 LV total RNA </t>
  </si>
  <si>
    <t xml:space="preserve">BN_LX 3 LV total RNA </t>
  </si>
  <si>
    <t xml:space="preserve">BN_LX 4 LV total RNA </t>
  </si>
  <si>
    <t xml:space="preserve">SHR_H 1 LV small RNA </t>
  </si>
  <si>
    <t xml:space="preserve">SHR_H 2 LV small RNA </t>
  </si>
  <si>
    <t xml:space="preserve">SHR_H 3 LV small RNA </t>
  </si>
  <si>
    <t xml:space="preserve">SHR_H 4 LV small RNA </t>
  </si>
  <si>
    <t xml:space="preserve">BN_LX 1 LV small RNA </t>
  </si>
  <si>
    <t xml:space="preserve">BN_LX 2 LV small RNA </t>
  </si>
  <si>
    <t xml:space="preserve">BN_LX 3 LV small RNA </t>
  </si>
  <si>
    <t xml:space="preserve">BN_LX 4 LV small RNA </t>
  </si>
  <si>
    <t>Date of RNA 
clean up</t>
  </si>
  <si>
    <t>RNA 
concentration
(ng/uL)</t>
  </si>
  <si>
    <t>ug of  RNA eluted</t>
  </si>
  <si>
    <t>Adapater Index
for cDNA library</t>
  </si>
  <si>
    <t>&lt;1</t>
  </si>
  <si>
    <t xml:space="preserve">HXB2_1 brain total RNA </t>
  </si>
  <si>
    <t xml:space="preserve">HXB2_2 brain total RNA </t>
  </si>
  <si>
    <t xml:space="preserve">HXB7_1 brain total RNA </t>
  </si>
  <si>
    <t xml:space="preserve">HXB7_2 brain total RNA </t>
  </si>
  <si>
    <t xml:space="preserve">HXB13_1 brain total RNA </t>
  </si>
  <si>
    <t xml:space="preserve">HXB13_2 brain total RNA </t>
  </si>
  <si>
    <t xml:space="preserve">HXB17_1 brain total RNA </t>
  </si>
  <si>
    <t xml:space="preserve">HXB17_2 brain total RNA </t>
  </si>
  <si>
    <t xml:space="preserve">HXB25_1 brain total RNA </t>
  </si>
  <si>
    <t xml:space="preserve">HXB25_2 brain total RNA </t>
  </si>
  <si>
    <t xml:space="preserve">HXB27_1 brain total RNA </t>
  </si>
  <si>
    <t xml:space="preserve">HXB27_2 brain total RNA </t>
  </si>
  <si>
    <t xml:space="preserve">BXH12_1 brain total RNA </t>
  </si>
  <si>
    <t xml:space="preserve">BXH12_2 brain total RNA </t>
  </si>
  <si>
    <t xml:space="preserve">SHR_1 brain total RNA </t>
  </si>
  <si>
    <t xml:space="preserve">SHR_1(2) brain total RNA </t>
  </si>
  <si>
    <t xml:space="preserve">HXB2_1 brain small RNA </t>
  </si>
  <si>
    <t xml:space="preserve">HXB2_2 brain small RNA </t>
  </si>
  <si>
    <t xml:space="preserve">HXB7_1 brain small RNA </t>
  </si>
  <si>
    <t xml:space="preserve">HXB7_2 brain small RNA </t>
  </si>
  <si>
    <t xml:space="preserve">HXB13_1 brain small RNA </t>
  </si>
  <si>
    <t xml:space="preserve">HXB13_2 brain small RNA </t>
  </si>
  <si>
    <t xml:space="preserve">HXB17_1 brain small RNA </t>
  </si>
  <si>
    <t xml:space="preserve">HXB17_2 brain small RNA </t>
  </si>
  <si>
    <t xml:space="preserve">HXB25_1 brain small RNA </t>
  </si>
  <si>
    <t xml:space="preserve">HXB25_2 brain small RNA </t>
  </si>
  <si>
    <t xml:space="preserve">HXB27_1 brain small RNA </t>
  </si>
  <si>
    <t xml:space="preserve">HXB27_2 brain small RNA </t>
  </si>
  <si>
    <t xml:space="preserve">BXH12_1 brain small RNA </t>
  </si>
  <si>
    <t xml:space="preserve">BXH12_2 brain small RNA </t>
  </si>
  <si>
    <t xml:space="preserve">SHR_1 brain small RNA </t>
  </si>
  <si>
    <t xml:space="preserve">SHR_1(2) brain small RNA </t>
  </si>
  <si>
    <t>Sex</t>
  </si>
  <si>
    <t>M</t>
  </si>
  <si>
    <t>F</t>
  </si>
  <si>
    <t xml:space="preserve">SHR_2 brain total RNA </t>
  </si>
  <si>
    <t xml:space="preserve">SHR_3 brain total RNA </t>
  </si>
  <si>
    <t xml:space="preserve">SHR_4 brain total RNA </t>
  </si>
  <si>
    <t>BN_LX_1 brain total RNA</t>
  </si>
  <si>
    <t>BN_LX_2 brain total RNA</t>
  </si>
  <si>
    <t>BN_LX_3 brain total RNA</t>
  </si>
  <si>
    <t>BN_LX_4 brain total RNA</t>
  </si>
  <si>
    <t xml:space="preserve">SHR_2 brain small RNA </t>
  </si>
  <si>
    <t xml:space="preserve">SHR_3 brain small RNA </t>
  </si>
  <si>
    <t xml:space="preserve">SHR_4 brain small RNA </t>
  </si>
  <si>
    <t>BN_LX_1 brain small RNA</t>
  </si>
  <si>
    <t>BN_LX_2 brain small RNA</t>
  </si>
  <si>
    <t>BN_LX_3 brain small RNA</t>
  </si>
  <si>
    <t>BN_LX_4 brain small RNA</t>
  </si>
  <si>
    <t xml:space="preserve">  </t>
  </si>
  <si>
    <t>vol for 100ng small RNA</t>
  </si>
  <si>
    <t xml:space="preserve"> </t>
  </si>
  <si>
    <t>Vol. of water</t>
  </si>
  <si>
    <t>Spike-in mix 1/2</t>
  </si>
  <si>
    <t>Lane #</t>
  </si>
  <si>
    <t>SHR_2 brain small RNA</t>
  </si>
  <si>
    <t>Adapter Index
Total RNA</t>
  </si>
  <si>
    <t>Adapter Index
Small RNA</t>
  </si>
  <si>
    <t>vol. for 100ng
 small RNA 
(5x pre-diluted)</t>
  </si>
  <si>
    <t>HXB1_1 brain total RNA</t>
  </si>
  <si>
    <t>HXB3_1 brain total RNA</t>
  </si>
  <si>
    <t>HXB4_1 brain total RNA</t>
  </si>
  <si>
    <t>HXB5_1 brain total RNA</t>
  </si>
  <si>
    <t>HXB10_1 brain total RNA</t>
  </si>
  <si>
    <t>HXB15_1 brain total RNA</t>
  </si>
  <si>
    <t>HXB18_1 brain total RNA</t>
  </si>
  <si>
    <t>HXB20_1 brain total RNA</t>
  </si>
  <si>
    <t>HXB21_1 brain total RNA</t>
  </si>
  <si>
    <t>HXB22_1 brain total RNA</t>
  </si>
  <si>
    <t>HXB23_1 brain total RNA</t>
  </si>
  <si>
    <t>HXB24_1 brain total RNA</t>
  </si>
  <si>
    <t>HXB29_1 brain total RNA</t>
  </si>
  <si>
    <t>HXB31_1 brain total RNA</t>
  </si>
  <si>
    <t>BXH2_1 brain total RNA</t>
  </si>
  <si>
    <t>HXB3_1 brain small RNA</t>
  </si>
  <si>
    <t>HXB4_1 brain small RNA</t>
  </si>
  <si>
    <t>HXB5_1 brain small RNA</t>
  </si>
  <si>
    <t>HXB10_1 brain small RNA</t>
  </si>
  <si>
    <t>HXB15_1 brain small RNA</t>
  </si>
  <si>
    <t>HXB18_1 brain small RNA</t>
  </si>
  <si>
    <t>HXB20_1 brain small RNA</t>
  </si>
  <si>
    <t>HXB21_1 brain small RNA</t>
  </si>
  <si>
    <t>HXB22_1 brain small RNA</t>
  </si>
  <si>
    <t>HXB1_1 brain small RNA</t>
  </si>
  <si>
    <t>HXB23_1 brain small RNA</t>
  </si>
  <si>
    <t>HXB24_1 brain small RNA</t>
  </si>
  <si>
    <t>HXB29_1 brain small RNA</t>
  </si>
  <si>
    <t>HXB31_1 brain small RNA</t>
  </si>
  <si>
    <t>BXH2_1 brain small RNA</t>
  </si>
  <si>
    <t>B7</t>
  </si>
  <si>
    <t>Nonmember</t>
  </si>
  <si>
    <t>Member</t>
  </si>
  <si>
    <t>C1</t>
  </si>
  <si>
    <t>C2</t>
  </si>
  <si>
    <t>C3</t>
  </si>
  <si>
    <t>C4</t>
  </si>
  <si>
    <t>E1</t>
  </si>
  <si>
    <t>E2</t>
  </si>
  <si>
    <t>E3</t>
  </si>
  <si>
    <t>E4</t>
  </si>
  <si>
    <t>E5</t>
  </si>
  <si>
    <t>Core</t>
  </si>
  <si>
    <t>Elective</t>
  </si>
  <si>
    <t>total cost</t>
  </si>
  <si>
    <t xml:space="preserve">   </t>
  </si>
  <si>
    <t>Spike mix
1/2</t>
  </si>
  <si>
    <t>Adapter 
Index</t>
  </si>
  <si>
    <t>BXH3_1 brain total RNA</t>
  </si>
  <si>
    <t>BXH3_2 brain total RNA</t>
  </si>
  <si>
    <t>BXH5_1 brain total RNA</t>
  </si>
  <si>
    <t>BXH6_1 brain total RNA</t>
  </si>
  <si>
    <t>BXH6_2 brain total RNA</t>
  </si>
  <si>
    <t>BXH8_1 brain total RNA</t>
  </si>
  <si>
    <t>BXH9_1 brain total RNA</t>
  </si>
  <si>
    <t>BXH9_2 brain total RNA</t>
  </si>
  <si>
    <t>BXH10_1 brain total RNA</t>
  </si>
  <si>
    <t>BXH10_2 brain total RNA</t>
  </si>
  <si>
    <t>BXH11_1 brain total RNA</t>
  </si>
  <si>
    <t>BXH11_2 brain total RNA</t>
  </si>
  <si>
    <t>BXH13_1 brain total RNA</t>
  </si>
  <si>
    <t>BXH3_1 brain small RNA</t>
  </si>
  <si>
    <t>BXH3_2 brain small RNA</t>
  </si>
  <si>
    <t>BXH5_1 brain small RNA</t>
  </si>
  <si>
    <t>BXH6_1 brain small RNA</t>
  </si>
  <si>
    <t>BXH6_2 brain small RNA</t>
  </si>
  <si>
    <t>BXH8_1 brain small RNA</t>
  </si>
  <si>
    <t>BXH9_1 brain small RNA</t>
  </si>
  <si>
    <t>BXH9_2 brain small RNA</t>
  </si>
  <si>
    <t>BXH10_1 brain small RNA</t>
  </si>
  <si>
    <t>BXH10_2 brain small RNA</t>
  </si>
  <si>
    <t>BXH11_1 brain small RNA</t>
  </si>
  <si>
    <t>BXH11_2 brain small RNA</t>
  </si>
  <si>
    <t>BXH13_1 brain small RNA</t>
  </si>
  <si>
    <t>BN_LX_1 brain total RNA*</t>
  </si>
  <si>
    <t>BN_LX_2 brain total RNA*</t>
  </si>
  <si>
    <t>SHR_1 brain total RNA**</t>
  </si>
  <si>
    <t>Also serves as loading control</t>
  </si>
  <si>
    <t>[]o</t>
  </si>
  <si>
    <t>Vol. of sample
for 1ug total RNA
(10x pre-diluted)</t>
  </si>
  <si>
    <t>* extracted on 1/29/2014-1/30/2014</t>
  </si>
  <si>
    <t>**extracted on 1/29/2014-1/30/2014, serves as loading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</si>
</sst>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3" borderId="0" xfId="0" applyFill="1"/>
    <xf numFmtId="0" fontId="0" fillId="4" borderId="0" xfId="0" applyFill="1"/>
    <xf numFmtId="0" fontId="2" fillId="0" borderId="1" xfId="0" applyFont="1" applyBorder="1"/>
    <xf numFmtId="14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quotePrefix="1" applyFont="1" applyBorder="1"/>
    <xf numFmtId="0" fontId="2" fillId="0" borderId="0" xfId="0" applyFont="1"/>
    <xf numFmtId="0" fontId="2" fillId="0" borderId="3" xfId="0" applyFont="1" applyBorder="1"/>
    <xf numFmtId="14" fontId="2" fillId="0" borderId="3" xfId="0" applyNumberFormat="1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2" fontId="0" fillId="0" borderId="0" xfId="0" applyNumberFormat="1" applyBorder="1"/>
    <xf numFmtId="0" fontId="0" fillId="0" borderId="7" xfId="0" applyBorder="1"/>
    <xf numFmtId="0" fontId="1" fillId="0" borderId="4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1" xfId="0" applyFont="1" applyFill="1" applyBorder="1"/>
    <xf numFmtId="0" fontId="3" fillId="3" borderId="1" xfId="0" applyFont="1" applyFill="1" applyBorder="1" applyAlignment="1">
      <alignment horizontal="right" vertical="center" wrapText="1"/>
    </xf>
    <xf numFmtId="2" fontId="2" fillId="0" borderId="1" xfId="0" quotePrefix="1" applyNumberFormat="1" applyFont="1" applyBorder="1"/>
    <xf numFmtId="0" fontId="2" fillId="0" borderId="6" xfId="0" applyFont="1" applyBorder="1"/>
    <xf numFmtId="0" fontId="2" fillId="4" borderId="1" xfId="0" applyFont="1" applyFill="1" applyBorder="1"/>
    <xf numFmtId="0" fontId="2" fillId="2" borderId="5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3" borderId="1" xfId="0" applyFont="1" applyFill="1" applyBorder="1"/>
    <xf numFmtId="0" fontId="2" fillId="0" borderId="10" xfId="0" applyFont="1" applyFill="1" applyBorder="1"/>
    <xf numFmtId="0" fontId="2" fillId="0" borderId="3" xfId="0" applyFont="1" applyFill="1" applyBorder="1"/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1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NumberFormat="1" applyFont="1" applyBorder="1"/>
    <xf numFmtId="0" fontId="2" fillId="0" borderId="3" xfId="0" applyNumberFormat="1" applyFont="1" applyBorder="1"/>
    <xf numFmtId="0" fontId="2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" xfId="0" applyNumberFormat="1" applyFont="1" applyBorder="1"/>
    <xf numFmtId="0" fontId="4" fillId="0" borderId="1" xfId="0" quotePrefix="1" applyNumberFormat="1" applyFont="1" applyBorder="1"/>
    <xf numFmtId="0" fontId="4" fillId="0" borderId="3" xfId="0" applyFont="1" applyBorder="1"/>
    <xf numFmtId="2" fontId="4" fillId="0" borderId="3" xfId="0" applyNumberFormat="1" applyFont="1" applyBorder="1"/>
    <xf numFmtId="0" fontId="4" fillId="0" borderId="3" xfId="0" applyNumberFormat="1" applyFont="1" applyBorder="1"/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14" fontId="4" fillId="6" borderId="1" xfId="0" applyNumberFormat="1" applyFont="1" applyFill="1" applyBorder="1"/>
    <xf numFmtId="2" fontId="4" fillId="6" borderId="1" xfId="0" applyNumberFormat="1" applyFont="1" applyFill="1" applyBorder="1"/>
    <xf numFmtId="0" fontId="4" fillId="6" borderId="1" xfId="0" applyNumberFormat="1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14" fontId="2" fillId="6" borderId="1" xfId="0" applyNumberFormat="1" applyFont="1" applyFill="1" applyBorder="1"/>
    <xf numFmtId="2" fontId="2" fillId="6" borderId="1" xfId="0" applyNumberFormat="1" applyFont="1" applyFill="1" applyBorder="1"/>
    <xf numFmtId="0" fontId="2" fillId="6" borderId="1" xfId="0" applyNumberFormat="1" applyFont="1" applyFill="1" applyBorder="1"/>
    <xf numFmtId="14" fontId="2" fillId="0" borderId="1" xfId="0" applyNumberFormat="1" applyFont="1" applyBorder="1" applyAlignment="1">
      <alignment horizontal="center"/>
    </xf>
    <xf numFmtId="0" fontId="2" fillId="0" borderId="1" xfId="0" quotePrefix="1" applyNumberFormat="1" applyFont="1" applyBorder="1"/>
    <xf numFmtId="0" fontId="2" fillId="0" borderId="0" xfId="0" applyFont="1" applyBorder="1"/>
    <xf numFmtId="0" fontId="0" fillId="0" borderId="0" xfId="0" applyBorder="1"/>
    <xf numFmtId="14" fontId="4" fillId="0" borderId="1" xfId="0" applyNumberFormat="1" applyFont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 wrapText="1"/>
    </xf>
    <xf numFmtId="2" fontId="2" fillId="6" borderId="1" xfId="0" quotePrefix="1" applyNumberFormat="1" applyFont="1" applyFill="1" applyBorder="1"/>
    <xf numFmtId="0" fontId="0" fillId="7" borderId="1" xfId="0" applyFill="1" applyBorder="1"/>
    <xf numFmtId="0" fontId="0" fillId="7" borderId="1" xfId="0" applyNumberFormat="1" applyFill="1" applyBorder="1"/>
    <xf numFmtId="0" fontId="0" fillId="8" borderId="1" xfId="0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2" fillId="6" borderId="0" xfId="0" applyFont="1" applyFill="1" applyBorder="1"/>
    <xf numFmtId="0" fontId="2" fillId="6" borderId="0" xfId="0" applyFont="1" applyFill="1" applyBorder="1" applyAlignment="1">
      <alignment horizontal="center"/>
    </xf>
    <xf numFmtId="14" fontId="2" fillId="6" borderId="0" xfId="0" applyNumberFormat="1" applyFont="1" applyFill="1" applyBorder="1" applyAlignment="1">
      <alignment horizontal="center"/>
    </xf>
    <xf numFmtId="2" fontId="2" fillId="6" borderId="0" xfId="0" applyNumberFormat="1" applyFont="1" applyFill="1" applyBorder="1"/>
    <xf numFmtId="14" fontId="2" fillId="6" borderId="0" xfId="0" applyNumberFormat="1" applyFont="1" applyFill="1" applyBorder="1"/>
    <xf numFmtId="0" fontId="2" fillId="6" borderId="0" xfId="0" applyNumberFormat="1" applyFont="1" applyFill="1" applyBorder="1"/>
    <xf numFmtId="2" fontId="2" fillId="6" borderId="0" xfId="0" quotePrefix="1" applyNumberFormat="1" applyFont="1" applyFill="1" applyBorder="1"/>
    <xf numFmtId="14" fontId="2" fillId="0" borderId="0" xfId="0" applyNumberFormat="1" applyFont="1" applyBorder="1"/>
    <xf numFmtId="0" fontId="0" fillId="6" borderId="0" xfId="0" applyFill="1"/>
    <xf numFmtId="14" fontId="2" fillId="0" borderId="1" xfId="0" applyNumberFormat="1" applyFont="1" applyFill="1" applyBorder="1"/>
    <xf numFmtId="14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0" borderId="1" xfId="0" applyNumberFormat="1" applyFont="1" applyFill="1" applyBorder="1"/>
    <xf numFmtId="0" fontId="0" fillId="0" borderId="0" xfId="0" applyFill="1"/>
    <xf numFmtId="0" fontId="0" fillId="0" borderId="1" xfId="0" applyFont="1" applyBorder="1"/>
    <xf numFmtId="0" fontId="0" fillId="0" borderId="1" xfId="0" applyBorder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/>
    <xf numFmtId="14" fontId="4" fillId="0" borderId="1" xfId="0" applyNumberFormat="1" applyFont="1" applyFill="1" applyBorder="1"/>
    <xf numFmtId="0" fontId="4" fillId="0" borderId="1" xfId="0" applyNumberFormat="1" applyFont="1" applyFill="1" applyBorder="1"/>
    <xf numFmtId="0" fontId="4" fillId="0" borderId="1" xfId="0" quotePrefix="1" applyNumberFormat="1" applyFont="1" applyFill="1" applyBorder="1"/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/>
    <xf numFmtId="2" fontId="4" fillId="4" borderId="1" xfId="0" applyNumberFormat="1" applyFont="1" applyFill="1" applyBorder="1"/>
    <xf numFmtId="14" fontId="4" fillId="4" borderId="1" xfId="0" applyNumberFormat="1" applyFont="1" applyFill="1" applyBorder="1"/>
    <xf numFmtId="0" fontId="4" fillId="4" borderId="1" xfId="0" applyNumberFormat="1" applyFont="1" applyFill="1" applyBorder="1"/>
    <xf numFmtId="0" fontId="4" fillId="4" borderId="1" xfId="0" quotePrefix="1" applyNumberFormat="1" applyFont="1" applyFill="1" applyBorder="1"/>
    <xf numFmtId="2" fontId="2" fillId="4" borderId="1" xfId="0" applyNumberFormat="1" applyFont="1" applyFill="1" applyBorder="1"/>
    <xf numFmtId="14" fontId="2" fillId="4" borderId="1" xfId="0" applyNumberFormat="1" applyFont="1" applyFill="1" applyBorder="1"/>
    <xf numFmtId="0" fontId="2" fillId="4" borderId="1" xfId="0" applyNumberFormat="1" applyFont="1" applyFill="1" applyBorder="1"/>
    <xf numFmtId="14" fontId="2" fillId="4" borderId="1" xfId="0" applyNumberFormat="1" applyFont="1" applyFill="1" applyBorder="1" applyAlignment="1">
      <alignment horizontal="center"/>
    </xf>
    <xf numFmtId="0" fontId="2" fillId="4" borderId="1" xfId="0" quotePrefix="1" applyNumberFormat="1" applyFont="1" applyFill="1" applyBorder="1"/>
    <xf numFmtId="2" fontId="2" fillId="4" borderId="1" xfId="0" quotePrefix="1" applyNumberFormat="1" applyFont="1" applyFill="1" applyBorder="1"/>
    <xf numFmtId="0" fontId="0" fillId="0" borderId="1" xfId="0" applyFill="1" applyBorder="1"/>
    <xf numFmtId="0" fontId="0" fillId="6" borderId="1" xfId="0" applyFill="1" applyBorder="1"/>
    <xf numFmtId="14" fontId="0" fillId="6" borderId="1" xfId="0" applyNumberFormat="1" applyFill="1" applyBorder="1"/>
    <xf numFmtId="2" fontId="0" fillId="6" borderId="1" xfId="0" applyNumberFormat="1" applyFill="1" applyBorder="1"/>
    <xf numFmtId="0" fontId="1" fillId="0" borderId="4" xfId="0" applyNumberFormat="1" applyFont="1" applyBorder="1" applyAlignment="1">
      <alignment horizontal="center" wrapText="1"/>
    </xf>
    <xf numFmtId="0" fontId="2" fillId="0" borderId="0" xfId="0" applyNumberFormat="1" applyFont="1"/>
    <xf numFmtId="0" fontId="5" fillId="6" borderId="1" xfId="0" applyNumberFormat="1" applyFont="1" applyFill="1" applyBorder="1" applyAlignment="1">
      <alignment horizontal="center"/>
    </xf>
    <xf numFmtId="0" fontId="2" fillId="9" borderId="1" xfId="0" applyNumberFormat="1" applyFont="1" applyFill="1" applyBorder="1"/>
    <xf numFmtId="0" fontId="0" fillId="0" borderId="0" xfId="0" applyNumberFormat="1"/>
    <xf numFmtId="0" fontId="0" fillId="9" borderId="8" xfId="0" applyFill="1" applyBorder="1"/>
    <xf numFmtId="0" fontId="0" fillId="0" borderId="8" xfId="0" applyFill="1" applyBorder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2:R9" totalsRowShown="0" headerRowDxfId="41" dataDxfId="40" tableBorderDxfId="39">
  <autoFilter ref="A2:R9"/>
  <tableColumns count="18">
    <tableColumn id="1" name="Sample name" dataDxfId="38"/>
    <tableColumn id="2" name="Source of _x000a_sample" dataDxfId="37"/>
    <tableColumn id="3" name="Total RNA concentration_x000a_(ng/uL)" dataDxfId="36"/>
    <tableColumn id="4" name="ug of total RNA_x000a_ eluted" dataDxfId="35">
      <calculatedColumnFormula>130*C3/1000</calculatedColumnFormula>
    </tableColumn>
    <tableColumn id="5" name="Sample Vol. for_x000a_100 ug total RNA" dataDxfId="34">
      <calculatedColumnFormula>100*1000/C3</calculatedColumnFormula>
    </tableColumn>
    <tableColumn id="6" name="Vol. of H2O" dataDxfId="33">
      <calculatedColumnFormula>100-E3</calculatedColumnFormula>
    </tableColumn>
    <tableColumn id="7" name="Cleaned Total RNA_x000a_concentration_x000a_(ng/uL)" dataDxfId="32"/>
    <tableColumn id="8" name="Small RNA _x000a_concentration_x000a_(ng/uL)" dataDxfId="31"/>
    <tableColumn id="9" name="vol for 1ug_x000a_cleaned total RNA" dataDxfId="30"/>
    <tableColumn id="10" name="Vol. of H2O2" dataDxfId="29"/>
    <tableColumn id="11" name="vol. of ERCC_x000a_spike control (1:100)" dataDxfId="28"/>
    <tableColumn id="12" name="Mix 1/Mix 2" dataDxfId="27"/>
    <tableColumn id="13" name="Total RNA library_x000a_ Adaptor Index" dataDxfId="26"/>
    <tableColumn id="14" name="cDNA concentration measurement_x000a_(ng/uL)" dataDxfId="25"/>
    <tableColumn id="15" name="vol for 1ug small RNA" dataDxfId="24"/>
    <tableColumn id="16" name="Vol. of H2O3" dataDxfId="23"/>
    <tableColumn id="17" name="Small RNA library _x000a_Adapter Index" dataDxfId="22"/>
    <tableColumn id="18" name="Small RNA cDNA concentration measurement_x000a_(ng/uL)4" dataDxfId="2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R69" totalsRowShown="0" headerRowDxfId="20" dataDxfId="19" tableBorderDxfId="18">
  <autoFilter ref="A1:R69"/>
  <tableColumns count="18">
    <tableColumn id="1" name="Sample Name" dataDxfId="17"/>
    <tableColumn id="2" name="Source of _x000a_sample" dataDxfId="16"/>
    <tableColumn id="20" name="Sex" dataDxfId="15"/>
    <tableColumn id="3" name="Tissue type" dataDxfId="14"/>
    <tableColumn id="19" name="Date of extraction" dataDxfId="13"/>
    <tableColumn id="4" name="RNA _x000a_concentration_x000a_(ng/uL)" dataDxfId="12"/>
    <tableColumn id="5" name="ug of  RNA eluted" dataDxfId="11">
      <calculatedColumnFormula>130*F2/1000</calculatedColumnFormula>
    </tableColumn>
    <tableColumn id="6" name="Date of RNA _x000a_clean up" dataDxfId="10"/>
    <tableColumn id="7" name="Cleaned total RNA Concentration_x000a_(ng/uL)" dataDxfId="9"/>
    <tableColumn id="8" name="Date of small RNA _x000a_clean up" dataDxfId="8"/>
    <tableColumn id="10" name="vol for 1ug_x000a_cleaned total RNA" dataDxfId="7">
      <calculatedColumnFormula>1000/I2</calculatedColumnFormula>
    </tableColumn>
    <tableColumn id="11" name="Vol. of H2O_x000a_(uL)" dataDxfId="6">
      <calculatedColumnFormula>6-K2</calculatedColumnFormula>
    </tableColumn>
    <tableColumn id="12" name="vol. of ERCC_x000a_spike control (1:100)" dataDxfId="5"/>
    <tableColumn id="13" name="Mix 1/Mix 2" dataDxfId="4"/>
    <tableColumn id="14" name="Adapater Index_x000a_for cDNA library" dataDxfId="3"/>
    <tableColumn id="15" name="Total RNA cDNA concentration _x000a_measurement (ng/uL)" dataDxfId="2"/>
    <tableColumn id="16" name="vol for 100ng small RNA" dataDxfId="1">
      <calculatedColumnFormula>100/#REF!</calculatedColumnFormula>
    </tableColumn>
    <tableColumn id="17" name="Vol. of H2O_x000a_(uL)2" dataDxfId="0">
      <calculatedColumnFormula>5-Table2[[#This Row],[vol for 100ng small RNA]]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"/>
  <sheetViews>
    <sheetView topLeftCell="F1" zoomScale="80" zoomScaleNormal="80" workbookViewId="0">
      <selection activeCell="K4" sqref="K4"/>
    </sheetView>
  </sheetViews>
  <sheetFormatPr defaultRowHeight="14.4"/>
  <cols>
    <col min="1" max="1" width="37.5546875" customWidth="1"/>
    <col min="2" max="2" width="12.88671875" customWidth="1"/>
    <col min="3" max="3" width="13.33203125" customWidth="1"/>
    <col min="4" max="4" width="16" customWidth="1"/>
    <col min="5" max="5" width="14.33203125" customWidth="1"/>
    <col min="6" max="6" width="17.88671875" customWidth="1"/>
    <col min="7" max="7" width="13.5546875" customWidth="1"/>
    <col min="8" max="8" width="13" customWidth="1"/>
    <col min="9" max="9" width="11.5546875" customWidth="1"/>
    <col min="10" max="10" width="14" customWidth="1"/>
    <col min="11" max="11" width="11.6640625" customWidth="1"/>
    <col min="12" max="12" width="13.5546875" customWidth="1"/>
    <col min="13" max="13" width="21.5546875" customWidth="1"/>
    <col min="14" max="14" width="16.5546875" customWidth="1"/>
    <col min="15" max="15" width="21.6640625" customWidth="1"/>
    <col min="16" max="16" width="15.33203125" customWidth="1"/>
    <col min="17" max="17" width="31.33203125" customWidth="1"/>
    <col min="18" max="18" width="16.33203125" customWidth="1"/>
  </cols>
  <sheetData>
    <row r="1" spans="1:18">
      <c r="A1" s="5"/>
      <c r="B1" s="5"/>
      <c r="C1" s="5"/>
      <c r="D1" s="20"/>
      <c r="E1" s="20"/>
    </row>
    <row r="2" spans="1:18" ht="65.25" customHeight="1">
      <c r="A2" s="21" t="s">
        <v>39</v>
      </c>
      <c r="B2" s="19" t="s">
        <v>14</v>
      </c>
      <c r="C2" s="19" t="s">
        <v>34</v>
      </c>
      <c r="D2" s="22" t="s">
        <v>35</v>
      </c>
      <c r="E2" s="19" t="s">
        <v>36</v>
      </c>
      <c r="F2" s="19" t="s">
        <v>1</v>
      </c>
      <c r="G2" s="22" t="s">
        <v>33</v>
      </c>
      <c r="H2" s="22" t="s">
        <v>37</v>
      </c>
      <c r="I2" s="19" t="s">
        <v>19</v>
      </c>
      <c r="J2" s="23" t="s">
        <v>29</v>
      </c>
      <c r="K2" s="19" t="s">
        <v>21</v>
      </c>
      <c r="L2" s="22" t="s">
        <v>20</v>
      </c>
      <c r="M2" s="22" t="s">
        <v>38</v>
      </c>
      <c r="N2" s="22" t="s">
        <v>23</v>
      </c>
      <c r="O2" s="22" t="s">
        <v>18</v>
      </c>
      <c r="P2" s="19" t="s">
        <v>32</v>
      </c>
      <c r="Q2" s="22" t="s">
        <v>42</v>
      </c>
      <c r="R2" s="24" t="s">
        <v>44</v>
      </c>
    </row>
    <row r="3" spans="1:18">
      <c r="A3" s="25" t="s">
        <v>7</v>
      </c>
      <c r="B3" s="44" t="s">
        <v>16</v>
      </c>
      <c r="C3" s="11">
        <v>1408.76</v>
      </c>
      <c r="D3" s="11">
        <f>130*C3/1000</f>
        <v>183.13879999999997</v>
      </c>
      <c r="E3" s="13">
        <f t="shared" ref="E3:E9" si="0">100*1000/C3</f>
        <v>70.98441182316364</v>
      </c>
      <c r="F3" s="13">
        <f t="shared" ref="F3:F9" si="1">100-E3</f>
        <v>29.01558817683636</v>
      </c>
      <c r="G3" s="11">
        <v>1880.62</v>
      </c>
      <c r="H3" s="11">
        <v>434.82</v>
      </c>
      <c r="I3" s="13">
        <f t="shared" ref="I3:I8" si="2">1000/G3</f>
        <v>0.53173953270729868</v>
      </c>
      <c r="J3" s="13">
        <f>6-I3</f>
        <v>5.4682604672927013</v>
      </c>
      <c r="K3" s="11">
        <v>4</v>
      </c>
      <c r="L3" s="11">
        <v>1</v>
      </c>
      <c r="M3" s="11">
        <v>2</v>
      </c>
      <c r="N3" s="27">
        <v>9.34</v>
      </c>
      <c r="O3" s="28">
        <f>1000/H3</f>
        <v>2.2998022170093373</v>
      </c>
      <c r="P3" s="13">
        <f>5-O3</f>
        <v>2.7001977829906627</v>
      </c>
      <c r="Q3" s="11">
        <v>8</v>
      </c>
      <c r="R3" s="29">
        <v>5.51</v>
      </c>
    </row>
    <row r="4" spans="1:18">
      <c r="A4" s="25" t="s">
        <v>8</v>
      </c>
      <c r="B4" s="44" t="s">
        <v>16</v>
      </c>
      <c r="C4" s="11">
        <v>2723.01</v>
      </c>
      <c r="D4" s="11">
        <f t="shared" ref="D4:D8" si="3">130*C4/1000</f>
        <v>353.99130000000002</v>
      </c>
      <c r="E4" s="13">
        <f t="shared" si="0"/>
        <v>36.724066382422393</v>
      </c>
      <c r="F4" s="13">
        <f t="shared" si="1"/>
        <v>63.275933617577607</v>
      </c>
      <c r="G4" s="11">
        <v>3106.58</v>
      </c>
      <c r="H4" s="11">
        <v>3947.19</v>
      </c>
      <c r="I4" s="13">
        <f t="shared" si="2"/>
        <v>0.32189739198733014</v>
      </c>
      <c r="J4" s="13">
        <f t="shared" ref="J4:J8" si="4">6-I4</f>
        <v>5.6781026080126695</v>
      </c>
      <c r="K4" s="11">
        <v>4</v>
      </c>
      <c r="L4" s="11">
        <v>2</v>
      </c>
      <c r="M4" s="11">
        <v>4</v>
      </c>
      <c r="N4" s="30">
        <v>3.49</v>
      </c>
      <c r="O4" s="28">
        <f>1000/H4</f>
        <v>0.25334478451759351</v>
      </c>
      <c r="P4" s="13">
        <f t="shared" ref="P4:P8" si="5">5-O4</f>
        <v>4.7466552154824067</v>
      </c>
      <c r="Q4" s="11">
        <v>9</v>
      </c>
      <c r="R4" s="29">
        <v>5.74</v>
      </c>
    </row>
    <row r="5" spans="1:18">
      <c r="A5" s="31" t="s">
        <v>22</v>
      </c>
      <c r="B5" s="45" t="s">
        <v>16</v>
      </c>
      <c r="C5" s="32">
        <v>1986</v>
      </c>
      <c r="D5" s="32">
        <f>130*C5/1000</f>
        <v>258.18</v>
      </c>
      <c r="E5" s="33">
        <f t="shared" si="0"/>
        <v>50.352467270896277</v>
      </c>
      <c r="F5" s="33">
        <f t="shared" si="1"/>
        <v>49.647532729103723</v>
      </c>
      <c r="G5" s="11">
        <v>2581</v>
      </c>
      <c r="H5" s="11" t="s">
        <v>17</v>
      </c>
      <c r="I5" s="13">
        <f t="shared" si="2"/>
        <v>0.38744672607516467</v>
      </c>
      <c r="J5" s="13">
        <f>6-I5</f>
        <v>5.6125532739248349</v>
      </c>
      <c r="K5" s="11">
        <v>4</v>
      </c>
      <c r="L5" s="11">
        <v>2</v>
      </c>
      <c r="M5" s="11">
        <v>5</v>
      </c>
      <c r="N5" s="34">
        <v>14.17</v>
      </c>
      <c r="O5" s="11"/>
      <c r="P5" s="11"/>
      <c r="Q5" s="11"/>
      <c r="R5" s="29"/>
    </row>
    <row r="6" spans="1:18">
      <c r="A6" s="25" t="s">
        <v>9</v>
      </c>
      <c r="B6" s="44" t="s">
        <v>16</v>
      </c>
      <c r="C6" s="11">
        <v>2946.86</v>
      </c>
      <c r="D6" s="11">
        <f t="shared" si="3"/>
        <v>383.09179999999998</v>
      </c>
      <c r="E6" s="13">
        <f t="shared" si="0"/>
        <v>33.934425116904094</v>
      </c>
      <c r="F6" s="13">
        <f t="shared" si="1"/>
        <v>66.065574883095906</v>
      </c>
      <c r="G6" s="11">
        <v>2215.94</v>
      </c>
      <c r="H6" s="11">
        <v>1462.35</v>
      </c>
      <c r="I6" s="13">
        <f t="shared" si="2"/>
        <v>0.45127575656380586</v>
      </c>
      <c r="J6" s="13">
        <f t="shared" si="4"/>
        <v>5.5487242434361939</v>
      </c>
      <c r="K6" s="11">
        <v>4</v>
      </c>
      <c r="L6" s="11">
        <v>1</v>
      </c>
      <c r="M6" s="11">
        <v>6</v>
      </c>
      <c r="N6" s="30">
        <v>4.1900000000000004</v>
      </c>
      <c r="O6" s="28">
        <f>1000/H6</f>
        <v>0.68383082025506892</v>
      </c>
      <c r="P6" s="13">
        <f t="shared" si="5"/>
        <v>4.3161691797449313</v>
      </c>
      <c r="Q6" s="11">
        <v>10</v>
      </c>
      <c r="R6" s="29">
        <v>5.51</v>
      </c>
    </row>
    <row r="7" spans="1:18">
      <c r="A7" s="25" t="s">
        <v>10</v>
      </c>
      <c r="B7" s="44" t="s">
        <v>16</v>
      </c>
      <c r="C7" s="11">
        <v>1789.51</v>
      </c>
      <c r="D7" s="11">
        <f t="shared" si="3"/>
        <v>232.63629999999998</v>
      </c>
      <c r="E7" s="13">
        <f t="shared" si="0"/>
        <v>55.881218881146239</v>
      </c>
      <c r="F7" s="13">
        <f t="shared" si="1"/>
        <v>44.118781118853761</v>
      </c>
      <c r="G7" s="11">
        <v>1219.8599999999999</v>
      </c>
      <c r="H7" s="11">
        <v>2598.81</v>
      </c>
      <c r="I7" s="13">
        <f t="shared" si="2"/>
        <v>0.81976620267899603</v>
      </c>
      <c r="J7" s="13">
        <f t="shared" si="4"/>
        <v>5.1802337973210042</v>
      </c>
      <c r="K7" s="11">
        <v>4</v>
      </c>
      <c r="L7" s="11">
        <v>1</v>
      </c>
      <c r="M7" s="11">
        <v>7</v>
      </c>
      <c r="N7" s="30">
        <v>4.1900000000000004</v>
      </c>
      <c r="O7" s="28">
        <f>1000/H7</f>
        <v>0.38479150072533197</v>
      </c>
      <c r="P7" s="13">
        <f t="shared" si="5"/>
        <v>4.6152084992746678</v>
      </c>
      <c r="Q7" s="11">
        <v>11</v>
      </c>
      <c r="R7" s="29">
        <v>3.67</v>
      </c>
    </row>
    <row r="8" spans="1:18">
      <c r="A8" s="25" t="s">
        <v>11</v>
      </c>
      <c r="B8" s="44" t="s">
        <v>16</v>
      </c>
      <c r="C8" s="11">
        <v>3329.13</v>
      </c>
      <c r="D8" s="11">
        <f t="shared" si="3"/>
        <v>432.7869</v>
      </c>
      <c r="E8" s="13">
        <f t="shared" si="0"/>
        <v>30.037877763860227</v>
      </c>
      <c r="F8" s="13">
        <f t="shared" si="1"/>
        <v>69.962122236139777</v>
      </c>
      <c r="G8" s="11">
        <v>2386.2600000000002</v>
      </c>
      <c r="H8" s="11">
        <v>3459.91</v>
      </c>
      <c r="I8" s="13">
        <f t="shared" si="2"/>
        <v>0.41906581847745</v>
      </c>
      <c r="J8" s="13">
        <f t="shared" si="4"/>
        <v>5.5809341815225499</v>
      </c>
      <c r="K8" s="11">
        <v>4</v>
      </c>
      <c r="L8" s="11">
        <v>2</v>
      </c>
      <c r="M8" s="11">
        <v>12</v>
      </c>
      <c r="N8" s="34">
        <v>11.46</v>
      </c>
      <c r="O8" s="28">
        <f>1000/H8</f>
        <v>0.28902485902812503</v>
      </c>
      <c r="P8" s="13">
        <f t="shared" si="5"/>
        <v>4.7109751409718754</v>
      </c>
      <c r="Q8" s="11">
        <v>12</v>
      </c>
      <c r="R8" s="29">
        <v>5.28</v>
      </c>
    </row>
    <row r="9" spans="1:18">
      <c r="A9" s="35" t="s">
        <v>12</v>
      </c>
      <c r="B9" s="46" t="s">
        <v>16</v>
      </c>
      <c r="C9" s="36">
        <v>1912.86</v>
      </c>
      <c r="D9" s="16">
        <f>130*C9/1000</f>
        <v>248.67179999999999</v>
      </c>
      <c r="E9" s="18">
        <f t="shared" si="0"/>
        <v>52.277741183358955</v>
      </c>
      <c r="F9" s="18">
        <f t="shared" si="1"/>
        <v>47.722258816641045</v>
      </c>
      <c r="G9" s="16">
        <v>1671.86</v>
      </c>
      <c r="H9" s="16">
        <v>2098.46</v>
      </c>
      <c r="I9" s="37" t="s">
        <v>17</v>
      </c>
      <c r="J9" s="37" t="s">
        <v>17</v>
      </c>
      <c r="K9" s="16"/>
      <c r="L9" s="16"/>
      <c r="M9" s="16"/>
      <c r="N9" s="16"/>
      <c r="O9" s="38" t="s">
        <v>17</v>
      </c>
      <c r="P9" s="37" t="s">
        <v>17</v>
      </c>
      <c r="Q9" s="16"/>
      <c r="R9" s="39"/>
    </row>
    <row r="11" spans="1:18">
      <c r="N11" s="9" t="s">
        <v>24</v>
      </c>
    </row>
    <row r="12" spans="1:18">
      <c r="N12" s="10" t="s">
        <v>25</v>
      </c>
    </row>
    <row r="13" spans="1:18">
      <c r="A13" t="s">
        <v>13</v>
      </c>
    </row>
    <row r="14" spans="1:18">
      <c r="A14" t="s">
        <v>13</v>
      </c>
    </row>
  </sheetData>
  <pageMargins left="0.7" right="0.7" top="0.75" bottom="0.75" header="0.3" footer="0.3"/>
  <pageSetup scale="51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4"/>
  <sheetViews>
    <sheetView tabSelected="1" topLeftCell="G1" zoomScale="85" zoomScaleNormal="85" workbookViewId="0">
      <pane ySplit="7" topLeftCell="A80" activePane="bottomLeft" state="frozen"/>
      <selection pane="bottomLeft" activeCell="N95" sqref="N95"/>
    </sheetView>
  </sheetViews>
  <sheetFormatPr defaultRowHeight="14.4"/>
  <cols>
    <col min="1" max="1" width="32.109375" customWidth="1"/>
    <col min="2" max="2" width="18.33203125" customWidth="1"/>
    <col min="3" max="3" width="16.44140625" customWidth="1"/>
    <col min="4" max="5" width="20.5546875" customWidth="1"/>
    <col min="6" max="6" width="16.44140625" style="127" customWidth="1"/>
    <col min="7" max="7" width="24.6640625" customWidth="1"/>
    <col min="8" max="8" width="22.33203125" customWidth="1"/>
    <col min="9" max="9" width="18.44140625" customWidth="1"/>
    <col min="10" max="10" width="21.44140625" customWidth="1"/>
    <col min="11" max="11" width="23.109375" customWidth="1"/>
    <col min="12" max="12" width="13.33203125" customWidth="1"/>
    <col min="13" max="13" width="15.33203125" customWidth="1"/>
    <col min="14" max="14" width="20.21875" customWidth="1"/>
    <col min="15" max="15" width="23.77734375" customWidth="1"/>
    <col min="16" max="16" width="29.88671875" customWidth="1"/>
    <col min="17" max="17" width="39.77734375" customWidth="1"/>
    <col min="18" max="18" width="19.88671875" customWidth="1"/>
  </cols>
  <sheetData>
    <row r="1" spans="1:58" ht="67.2" customHeight="1">
      <c r="A1" s="1" t="s">
        <v>0</v>
      </c>
      <c r="B1" s="2" t="s">
        <v>14</v>
      </c>
      <c r="C1" s="2" t="s">
        <v>99</v>
      </c>
      <c r="D1" s="2" t="s">
        <v>26</v>
      </c>
      <c r="E1" s="19" t="s">
        <v>45</v>
      </c>
      <c r="F1" s="123" t="s">
        <v>63</v>
      </c>
      <c r="G1" s="75" t="s">
        <v>64</v>
      </c>
      <c r="H1" s="2" t="s">
        <v>62</v>
      </c>
      <c r="I1" s="6" t="s">
        <v>31</v>
      </c>
      <c r="J1" s="2" t="s">
        <v>30</v>
      </c>
      <c r="K1" s="7" t="s">
        <v>19</v>
      </c>
      <c r="L1" s="8" t="s">
        <v>40</v>
      </c>
      <c r="M1" s="2" t="s">
        <v>21</v>
      </c>
      <c r="N1" s="6" t="s">
        <v>20</v>
      </c>
      <c r="O1" s="6" t="s">
        <v>65</v>
      </c>
      <c r="P1" s="6" t="s">
        <v>43</v>
      </c>
      <c r="Q1" s="6" t="s">
        <v>117</v>
      </c>
      <c r="R1" s="8" t="s">
        <v>41</v>
      </c>
    </row>
    <row r="2" spans="1:58" hidden="1">
      <c r="A2" s="11" t="s">
        <v>2</v>
      </c>
      <c r="B2" s="42" t="s">
        <v>15</v>
      </c>
      <c r="C2" s="42"/>
      <c r="D2" s="42" t="s">
        <v>27</v>
      </c>
      <c r="E2" s="42"/>
      <c r="F2" s="47">
        <v>1752</v>
      </c>
      <c r="G2" s="11">
        <f t="shared" ref="G2:G7" si="0">130*F2/1000</f>
        <v>227.76</v>
      </c>
      <c r="H2" s="12">
        <v>41669</v>
      </c>
      <c r="I2" s="11">
        <v>1751.2</v>
      </c>
      <c r="J2" s="12">
        <v>41669</v>
      </c>
      <c r="K2" s="13"/>
      <c r="L2" s="13"/>
      <c r="M2" s="11"/>
      <c r="N2" s="11"/>
      <c r="O2" s="11"/>
      <c r="P2" s="11"/>
      <c r="Q2" s="14"/>
      <c r="R2" s="11"/>
    </row>
    <row r="3" spans="1:58" hidden="1">
      <c r="A3" s="96" t="s">
        <v>156</v>
      </c>
      <c r="B3" s="42" t="s">
        <v>15</v>
      </c>
      <c r="C3" s="42"/>
      <c r="D3" s="42" t="s">
        <v>27</v>
      </c>
      <c r="E3" s="42"/>
      <c r="F3" s="47">
        <v>1703</v>
      </c>
      <c r="G3" s="11">
        <f t="shared" si="0"/>
        <v>221.39</v>
      </c>
      <c r="H3" s="12">
        <v>41669</v>
      </c>
      <c r="I3" s="11">
        <v>560.47</v>
      </c>
      <c r="J3" s="12">
        <v>41669</v>
      </c>
      <c r="K3" s="13"/>
      <c r="L3" s="13"/>
      <c r="M3" s="11"/>
      <c r="N3" s="11"/>
      <c r="O3" s="11"/>
      <c r="P3" s="11"/>
      <c r="Q3" s="14"/>
      <c r="R3" s="11"/>
    </row>
    <row r="4" spans="1:58" hidden="1">
      <c r="A4" s="11" t="s">
        <v>3</v>
      </c>
      <c r="B4" s="42" t="s">
        <v>15</v>
      </c>
      <c r="C4" s="42"/>
      <c r="D4" s="42" t="s">
        <v>27</v>
      </c>
      <c r="E4" s="42"/>
      <c r="F4" s="47">
        <v>1693</v>
      </c>
      <c r="G4" s="11">
        <f t="shared" si="0"/>
        <v>220.09</v>
      </c>
      <c r="H4" s="12">
        <v>41669</v>
      </c>
      <c r="I4" s="11">
        <v>1463.96</v>
      </c>
      <c r="J4" s="12">
        <v>41669</v>
      </c>
      <c r="K4" s="13"/>
      <c r="L4" s="13"/>
      <c r="M4" s="11"/>
      <c r="N4" s="11"/>
      <c r="O4" s="11"/>
      <c r="P4" s="11"/>
      <c r="Q4" s="14"/>
      <c r="R4" s="11"/>
    </row>
    <row r="5" spans="1:58" hidden="1">
      <c r="A5" s="11" t="s">
        <v>4</v>
      </c>
      <c r="B5" s="42" t="s">
        <v>15</v>
      </c>
      <c r="C5" s="42"/>
      <c r="D5" s="42" t="s">
        <v>27</v>
      </c>
      <c r="E5" s="42"/>
      <c r="F5" s="47">
        <v>1834</v>
      </c>
      <c r="G5" s="11">
        <f t="shared" si="0"/>
        <v>238.42</v>
      </c>
      <c r="H5" s="12">
        <v>41669</v>
      </c>
      <c r="I5" s="11">
        <v>1653.09</v>
      </c>
      <c r="J5" s="12">
        <v>41669</v>
      </c>
      <c r="K5" s="13"/>
      <c r="L5" s="13"/>
      <c r="M5" s="11"/>
      <c r="N5" s="11"/>
      <c r="O5" s="11"/>
      <c r="P5" s="11"/>
      <c r="Q5" s="14"/>
      <c r="R5" s="11"/>
    </row>
    <row r="6" spans="1:58" hidden="1">
      <c r="A6" s="11" t="s">
        <v>5</v>
      </c>
      <c r="B6" s="42" t="s">
        <v>15</v>
      </c>
      <c r="C6" s="42"/>
      <c r="D6" s="42" t="s">
        <v>27</v>
      </c>
      <c r="E6" s="42"/>
      <c r="F6" s="47">
        <v>1379</v>
      </c>
      <c r="G6" s="11">
        <f t="shared" si="0"/>
        <v>179.27</v>
      </c>
      <c r="H6" s="12">
        <v>41669</v>
      </c>
      <c r="I6" s="11">
        <v>1440.16</v>
      </c>
      <c r="J6" s="12">
        <v>41669</v>
      </c>
      <c r="K6" s="13"/>
      <c r="L6" s="13"/>
      <c r="M6" s="11"/>
      <c r="N6" s="11"/>
      <c r="O6" s="11"/>
      <c r="P6" s="11"/>
      <c r="Q6" s="14"/>
      <c r="R6" s="11"/>
    </row>
    <row r="7" spans="1:58" hidden="1">
      <c r="A7" s="11" t="s">
        <v>6</v>
      </c>
      <c r="B7" s="42" t="s">
        <v>15</v>
      </c>
      <c r="C7" s="42"/>
      <c r="D7" s="42" t="s">
        <v>27</v>
      </c>
      <c r="E7" s="42"/>
      <c r="F7" s="47">
        <v>1418</v>
      </c>
      <c r="G7" s="11">
        <f t="shared" si="0"/>
        <v>184.34</v>
      </c>
      <c r="H7" s="12">
        <v>41669</v>
      </c>
      <c r="I7" s="11">
        <v>1280.8499999999999</v>
      </c>
      <c r="J7" s="12">
        <v>41669</v>
      </c>
      <c r="K7" s="13"/>
      <c r="L7" s="13"/>
      <c r="M7" s="11"/>
      <c r="N7" s="11"/>
      <c r="O7" s="11"/>
      <c r="P7" s="11"/>
      <c r="Q7" s="14"/>
      <c r="R7" s="11"/>
    </row>
    <row r="8" spans="1:58">
      <c r="A8" s="15"/>
      <c r="B8" s="43"/>
      <c r="C8" s="43"/>
      <c r="D8" s="43"/>
      <c r="E8" s="43"/>
      <c r="F8" s="12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58">
      <c r="A9" s="11" t="s">
        <v>46</v>
      </c>
      <c r="B9" s="42" t="s">
        <v>15</v>
      </c>
      <c r="C9" s="42" t="s">
        <v>100</v>
      </c>
      <c r="D9" s="42" t="s">
        <v>28</v>
      </c>
      <c r="E9" s="69">
        <v>41737</v>
      </c>
      <c r="F9" s="47">
        <v>405.81</v>
      </c>
      <c r="G9" s="13">
        <f>130*F9/1000</f>
        <v>52.755300000000005</v>
      </c>
      <c r="H9" s="12">
        <v>41738</v>
      </c>
      <c r="I9" s="11">
        <v>810.24</v>
      </c>
      <c r="J9" s="12">
        <v>41738</v>
      </c>
      <c r="K9" s="13">
        <f t="shared" ref="K9:K16" si="1">1000/I9</f>
        <v>1.2342022116903633</v>
      </c>
      <c r="L9" s="13">
        <f t="shared" ref="L9:L16" si="2">6-K9</f>
        <v>4.7657977883096372</v>
      </c>
      <c r="M9" s="11">
        <v>4</v>
      </c>
      <c r="N9" s="11">
        <v>1</v>
      </c>
      <c r="O9" s="11">
        <v>6</v>
      </c>
      <c r="P9" s="13">
        <v>2.0455000000000001</v>
      </c>
      <c r="Q9" s="28"/>
      <c r="R9" s="13"/>
    </row>
    <row r="10" spans="1:58">
      <c r="A10" s="11" t="s">
        <v>47</v>
      </c>
      <c r="B10" s="42" t="s">
        <v>15</v>
      </c>
      <c r="C10" s="42" t="s">
        <v>100</v>
      </c>
      <c r="D10" s="42" t="s">
        <v>28</v>
      </c>
      <c r="E10" s="69">
        <v>41737</v>
      </c>
      <c r="F10" s="47">
        <v>507.47</v>
      </c>
      <c r="G10" s="13">
        <f t="shared" ref="G10:G16" si="3">130*F10/1000</f>
        <v>65.971100000000007</v>
      </c>
      <c r="H10" s="12">
        <v>41738</v>
      </c>
      <c r="I10" s="11">
        <v>690.74</v>
      </c>
      <c r="J10" s="12">
        <v>41738</v>
      </c>
      <c r="K10" s="13">
        <f t="shared" si="1"/>
        <v>1.44772273214234</v>
      </c>
      <c r="L10" s="13">
        <f t="shared" si="2"/>
        <v>4.5522772678576597</v>
      </c>
      <c r="M10" s="11">
        <v>4</v>
      </c>
      <c r="N10" s="11">
        <v>2</v>
      </c>
      <c r="O10" s="11">
        <v>5</v>
      </c>
      <c r="P10" s="13">
        <v>17.131499999999999</v>
      </c>
      <c r="Q10" s="28"/>
      <c r="R10" s="13"/>
    </row>
    <row r="11" spans="1:58">
      <c r="A11" s="11" t="s">
        <v>48</v>
      </c>
      <c r="B11" s="42" t="s">
        <v>15</v>
      </c>
      <c r="C11" s="42" t="s">
        <v>100</v>
      </c>
      <c r="D11" s="42" t="s">
        <v>28</v>
      </c>
      <c r="E11" s="69">
        <v>41737</v>
      </c>
      <c r="F11" s="47">
        <v>437.13</v>
      </c>
      <c r="G11" s="13">
        <f t="shared" si="3"/>
        <v>56.826900000000002</v>
      </c>
      <c r="H11" s="12">
        <v>41738</v>
      </c>
      <c r="I11" s="11">
        <v>930.31</v>
      </c>
      <c r="J11" s="12">
        <v>41738</v>
      </c>
      <c r="K11" s="13">
        <f t="shared" si="1"/>
        <v>1.0749105136997346</v>
      </c>
      <c r="L11" s="13">
        <f t="shared" si="2"/>
        <v>4.9250894863002657</v>
      </c>
      <c r="M11" s="11">
        <v>4</v>
      </c>
      <c r="N11" s="11">
        <v>1</v>
      </c>
      <c r="O11" s="11">
        <v>2</v>
      </c>
      <c r="P11" s="13">
        <v>10.739000000000001</v>
      </c>
      <c r="Q11" s="28"/>
      <c r="R11" s="13"/>
    </row>
    <row r="12" spans="1:58">
      <c r="A12" s="11" t="s">
        <v>49</v>
      </c>
      <c r="B12" s="42" t="s">
        <v>15</v>
      </c>
      <c r="C12" s="42" t="s">
        <v>100</v>
      </c>
      <c r="D12" s="42" t="s">
        <v>28</v>
      </c>
      <c r="E12" s="69">
        <v>41737</v>
      </c>
      <c r="F12" s="47">
        <v>474.67</v>
      </c>
      <c r="G12" s="13">
        <f t="shared" si="3"/>
        <v>61.707099999999997</v>
      </c>
      <c r="H12" s="12">
        <v>41738</v>
      </c>
      <c r="I12" s="11">
        <v>760.92</v>
      </c>
      <c r="J12" s="12">
        <v>41738</v>
      </c>
      <c r="K12" s="13">
        <f t="shared" si="1"/>
        <v>1.3141986016926879</v>
      </c>
      <c r="L12" s="13">
        <f t="shared" si="2"/>
        <v>4.6858013983073121</v>
      </c>
      <c r="M12" s="11">
        <v>4</v>
      </c>
      <c r="N12" s="11">
        <v>2</v>
      </c>
      <c r="O12" s="11">
        <v>4</v>
      </c>
      <c r="P12" s="13">
        <v>19.688500000000001</v>
      </c>
      <c r="Q12" s="28"/>
      <c r="R12" s="13"/>
    </row>
    <row r="13" spans="1:58">
      <c r="A13" s="11" t="s">
        <v>50</v>
      </c>
      <c r="B13" s="42" t="s">
        <v>15</v>
      </c>
      <c r="C13" s="42" t="s">
        <v>100</v>
      </c>
      <c r="D13" s="42" t="s">
        <v>28</v>
      </c>
      <c r="E13" s="69">
        <v>41737</v>
      </c>
      <c r="F13" s="47">
        <v>336.74</v>
      </c>
      <c r="G13" s="13">
        <f t="shared" si="3"/>
        <v>43.776200000000003</v>
      </c>
      <c r="H13" s="12">
        <v>41738</v>
      </c>
      <c r="I13" s="11">
        <v>715.63</v>
      </c>
      <c r="J13" s="12">
        <v>41738</v>
      </c>
      <c r="K13" s="13">
        <f t="shared" si="1"/>
        <v>1.3973701493788691</v>
      </c>
      <c r="L13" s="13">
        <f t="shared" si="2"/>
        <v>4.6026298506211312</v>
      </c>
      <c r="M13" s="11">
        <v>4</v>
      </c>
      <c r="N13" s="11">
        <v>2</v>
      </c>
      <c r="O13" s="11">
        <v>12</v>
      </c>
      <c r="P13" s="13">
        <v>30.939</v>
      </c>
      <c r="Q13" s="28"/>
      <c r="R13" s="13"/>
    </row>
    <row r="14" spans="1:58">
      <c r="A14" s="11" t="s">
        <v>51</v>
      </c>
      <c r="B14" s="42" t="s">
        <v>15</v>
      </c>
      <c r="C14" s="42" t="s">
        <v>100</v>
      </c>
      <c r="D14" s="42" t="s">
        <v>28</v>
      </c>
      <c r="E14" s="69">
        <v>41737</v>
      </c>
      <c r="F14" s="47">
        <v>539.13</v>
      </c>
      <c r="G14" s="13">
        <f t="shared" si="3"/>
        <v>70.0869</v>
      </c>
      <c r="H14" s="12">
        <v>41738</v>
      </c>
      <c r="I14" s="11">
        <v>1042.52</v>
      </c>
      <c r="J14" s="12">
        <v>41738</v>
      </c>
      <c r="K14" s="13">
        <f t="shared" si="1"/>
        <v>0.95921421171776078</v>
      </c>
      <c r="L14" s="13">
        <f t="shared" si="2"/>
        <v>5.0407857882822391</v>
      </c>
      <c r="M14" s="11">
        <v>4</v>
      </c>
      <c r="N14" s="11">
        <v>1</v>
      </c>
      <c r="O14" s="11">
        <v>19</v>
      </c>
      <c r="P14" s="13">
        <v>8.6935000000000002</v>
      </c>
      <c r="Q14" s="28"/>
      <c r="R14" s="13"/>
    </row>
    <row r="15" spans="1:58">
      <c r="A15" s="11" t="s">
        <v>52</v>
      </c>
      <c r="B15" s="42" t="s">
        <v>15</v>
      </c>
      <c r="C15" s="42" t="s">
        <v>100</v>
      </c>
      <c r="D15" s="42" t="s">
        <v>28</v>
      </c>
      <c r="E15" s="69">
        <v>41737</v>
      </c>
      <c r="F15" s="47">
        <v>428.25</v>
      </c>
      <c r="G15" s="13">
        <f t="shared" si="3"/>
        <v>55.672499999999999</v>
      </c>
      <c r="H15" s="12">
        <v>41738</v>
      </c>
      <c r="I15" s="11">
        <v>799.13</v>
      </c>
      <c r="J15" s="12">
        <v>41738</v>
      </c>
      <c r="K15" s="13">
        <f t="shared" si="1"/>
        <v>1.2513608549297361</v>
      </c>
      <c r="L15" s="13">
        <f t="shared" si="2"/>
        <v>4.7486391450702641</v>
      </c>
      <c r="M15" s="11">
        <v>4</v>
      </c>
      <c r="N15" s="11">
        <v>2</v>
      </c>
      <c r="O15" s="11">
        <v>7</v>
      </c>
      <c r="P15" s="13">
        <v>5.6254999999999997</v>
      </c>
      <c r="Q15" s="28"/>
      <c r="R15" s="13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</row>
    <row r="16" spans="1:58" s="11" customFormat="1">
      <c r="A16" s="16" t="s">
        <v>53</v>
      </c>
      <c r="B16" s="37" t="s">
        <v>15</v>
      </c>
      <c r="C16" s="42" t="s">
        <v>100</v>
      </c>
      <c r="D16" s="37" t="s">
        <v>28</v>
      </c>
      <c r="E16" s="69">
        <v>41737</v>
      </c>
      <c r="F16" s="48">
        <v>377.85</v>
      </c>
      <c r="G16" s="18">
        <f t="shared" si="3"/>
        <v>49.1205</v>
      </c>
      <c r="H16" s="17">
        <v>41738</v>
      </c>
      <c r="I16" s="16">
        <v>924.11</v>
      </c>
      <c r="J16" s="17">
        <v>41738</v>
      </c>
      <c r="K16" s="13">
        <f t="shared" si="1"/>
        <v>1.0821222581727283</v>
      </c>
      <c r="L16" s="18">
        <f t="shared" si="2"/>
        <v>4.9178777418272714</v>
      </c>
      <c r="M16" s="16">
        <v>4</v>
      </c>
      <c r="N16" s="16">
        <v>1</v>
      </c>
      <c r="O16" s="16">
        <v>16</v>
      </c>
      <c r="P16" s="18">
        <v>3.3239999999999998</v>
      </c>
      <c r="Q16" s="28"/>
      <c r="R16" s="13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</row>
    <row r="17" spans="1:18" s="71" customFormat="1">
      <c r="A17" s="11" t="s">
        <v>54</v>
      </c>
      <c r="B17" s="42" t="s">
        <v>15</v>
      </c>
      <c r="C17" s="42" t="s">
        <v>100</v>
      </c>
      <c r="D17" s="42" t="s">
        <v>28</v>
      </c>
      <c r="E17" s="69"/>
      <c r="F17" s="47">
        <v>424.29</v>
      </c>
      <c r="G17" s="13">
        <f>10*F17/1000</f>
        <v>4.2429000000000006</v>
      </c>
      <c r="H17" s="12"/>
      <c r="I17" s="11"/>
      <c r="J17" s="12"/>
      <c r="K17" s="13"/>
      <c r="L17" s="13"/>
      <c r="M17" s="11"/>
      <c r="N17" s="11"/>
      <c r="O17" s="47">
        <v>5</v>
      </c>
      <c r="P17" s="47" t="s">
        <v>66</v>
      </c>
      <c r="Q17" s="28">
        <f>100/(Table2[[#This Row],[RNA 
concentration
(ng/uL)]]/10)</f>
        <v>2.3568785500483158</v>
      </c>
      <c r="R17" s="13">
        <f>5-Table2[[#This Row],[vol for 100ng small RNA]]</f>
        <v>2.6431214499516842</v>
      </c>
    </row>
    <row r="18" spans="1:18" s="71" customFormat="1">
      <c r="A18" s="11" t="s">
        <v>55</v>
      </c>
      <c r="B18" s="42" t="s">
        <v>15</v>
      </c>
      <c r="C18" s="42" t="s">
        <v>100</v>
      </c>
      <c r="D18" s="42" t="s">
        <v>28</v>
      </c>
      <c r="E18" s="69"/>
      <c r="F18" s="47">
        <v>904.5</v>
      </c>
      <c r="G18" s="13">
        <f t="shared" ref="G18:G24" si="4">10*F18/1000</f>
        <v>9.0449999999999999</v>
      </c>
      <c r="H18" s="12"/>
      <c r="I18" s="11"/>
      <c r="J18" s="12"/>
      <c r="K18" s="13"/>
      <c r="L18" s="13"/>
      <c r="M18" s="11"/>
      <c r="N18" s="11"/>
      <c r="O18" s="47">
        <v>10</v>
      </c>
      <c r="P18" s="47" t="s">
        <v>66</v>
      </c>
      <c r="Q18" s="28">
        <f>100/(Table2[[#This Row],[RNA 
concentration
(ng/uL)]]/10)</f>
        <v>1.105583195135434</v>
      </c>
      <c r="R18" s="13">
        <f>5-Table2[[#This Row],[vol for 100ng small RNA]]</f>
        <v>3.8944168048645658</v>
      </c>
    </row>
    <row r="19" spans="1:18" s="71" customFormat="1">
      <c r="A19" s="11" t="s">
        <v>56</v>
      </c>
      <c r="B19" s="42" t="s">
        <v>15</v>
      </c>
      <c r="C19" s="42" t="s">
        <v>100</v>
      </c>
      <c r="D19" s="42" t="s">
        <v>28</v>
      </c>
      <c r="E19" s="69"/>
      <c r="F19" s="47">
        <v>684.14</v>
      </c>
      <c r="G19" s="13">
        <f t="shared" si="4"/>
        <v>6.8413999999999993</v>
      </c>
      <c r="H19" s="12"/>
      <c r="I19" s="11"/>
      <c r="J19" s="12"/>
      <c r="K19" s="13"/>
      <c r="L19" s="13"/>
      <c r="M19" s="11"/>
      <c r="N19" s="11"/>
      <c r="O19" s="47">
        <v>12</v>
      </c>
      <c r="P19" s="47" t="s">
        <v>66</v>
      </c>
      <c r="Q19" s="28">
        <f>100/(Table2[[#This Row],[RNA 
concentration
(ng/uL)]]/10)</f>
        <v>1.4616891279562663</v>
      </c>
      <c r="R19" s="13">
        <f>5-Table2[[#This Row],[vol for 100ng small RNA]]</f>
        <v>3.5383108720437337</v>
      </c>
    </row>
    <row r="20" spans="1:18" s="71" customFormat="1">
      <c r="A20" s="11" t="s">
        <v>57</v>
      </c>
      <c r="B20" s="42" t="s">
        <v>15</v>
      </c>
      <c r="C20" s="42" t="s">
        <v>100</v>
      </c>
      <c r="D20" s="42" t="s">
        <v>28</v>
      </c>
      <c r="E20" s="69"/>
      <c r="F20" s="47">
        <v>762.44</v>
      </c>
      <c r="G20" s="13">
        <f t="shared" si="4"/>
        <v>7.6244000000000005</v>
      </c>
      <c r="H20" s="12"/>
      <c r="I20" s="11"/>
      <c r="J20" s="12"/>
      <c r="K20" s="13"/>
      <c r="L20" s="13"/>
      <c r="M20" s="11"/>
      <c r="N20" s="11"/>
      <c r="O20" s="47">
        <v>7</v>
      </c>
      <c r="P20" s="47" t="s">
        <v>66</v>
      </c>
      <c r="Q20" s="28">
        <f>100/(Table2[[#This Row],[RNA 
concentration
(ng/uL)]]/10)</f>
        <v>1.3115786160222445</v>
      </c>
      <c r="R20" s="13">
        <f>5-Table2[[#This Row],[vol for 100ng small RNA]]</f>
        <v>3.6884213839777553</v>
      </c>
    </row>
    <row r="21" spans="1:18" s="71" customFormat="1">
      <c r="A21" s="11" t="s">
        <v>58</v>
      </c>
      <c r="B21" s="42" t="s">
        <v>15</v>
      </c>
      <c r="C21" s="42" t="s">
        <v>100</v>
      </c>
      <c r="D21" s="42" t="s">
        <v>28</v>
      </c>
      <c r="E21" s="69"/>
      <c r="F21" s="47">
        <v>437.67</v>
      </c>
      <c r="G21" s="13">
        <f t="shared" si="4"/>
        <v>4.3766999999999996</v>
      </c>
      <c r="H21" s="12"/>
      <c r="I21" s="11"/>
      <c r="J21" s="12"/>
      <c r="K21" s="13"/>
      <c r="L21" s="13"/>
      <c r="M21" s="11"/>
      <c r="N21" s="11"/>
      <c r="O21" s="47">
        <v>11</v>
      </c>
      <c r="P21" s="47" t="s">
        <v>66</v>
      </c>
      <c r="Q21" s="28">
        <f>100/(Table2[[#This Row],[RNA 
concentration
(ng/uL)]]/10)</f>
        <v>2.2848264674297987</v>
      </c>
      <c r="R21" s="13">
        <f>5-Table2[[#This Row],[vol for 100ng small RNA]]</f>
        <v>2.7151735325702013</v>
      </c>
    </row>
    <row r="22" spans="1:18" s="71" customFormat="1">
      <c r="A22" s="11" t="s">
        <v>59</v>
      </c>
      <c r="B22" s="42" t="s">
        <v>15</v>
      </c>
      <c r="C22" s="42" t="s">
        <v>100</v>
      </c>
      <c r="D22" s="42" t="s">
        <v>28</v>
      </c>
      <c r="E22" s="69"/>
      <c r="F22" s="47">
        <v>718.53</v>
      </c>
      <c r="G22" s="13">
        <f t="shared" si="4"/>
        <v>7.1852999999999989</v>
      </c>
      <c r="H22" s="12"/>
      <c r="I22" s="11"/>
      <c r="J22" s="12"/>
      <c r="K22" s="13"/>
      <c r="L22" s="13"/>
      <c r="M22" s="11"/>
      <c r="N22" s="11"/>
      <c r="O22" s="47">
        <v>8</v>
      </c>
      <c r="P22" s="47" t="s">
        <v>66</v>
      </c>
      <c r="Q22" s="28">
        <f>100/(Table2[[#This Row],[RNA 
concentration
(ng/uL)]]/10)</f>
        <v>1.3917303383296453</v>
      </c>
      <c r="R22" s="13">
        <f>5-Table2[[#This Row],[vol for 100ng small RNA]]</f>
        <v>3.6082696616703549</v>
      </c>
    </row>
    <row r="23" spans="1:18" s="71" customFormat="1">
      <c r="A23" s="11" t="s">
        <v>60</v>
      </c>
      <c r="B23" s="42" t="s">
        <v>15</v>
      </c>
      <c r="C23" s="42" t="s">
        <v>100</v>
      </c>
      <c r="D23" s="42" t="s">
        <v>28</v>
      </c>
      <c r="E23" s="69"/>
      <c r="F23" s="47">
        <v>593.73</v>
      </c>
      <c r="G23" s="13">
        <f t="shared" si="4"/>
        <v>5.9373000000000005</v>
      </c>
      <c r="H23" s="12"/>
      <c r="I23" s="11"/>
      <c r="J23" s="12"/>
      <c r="K23" s="13"/>
      <c r="L23" s="13"/>
      <c r="M23" s="11"/>
      <c r="N23" s="11"/>
      <c r="O23" s="47">
        <v>6</v>
      </c>
      <c r="P23" s="47" t="s">
        <v>66</v>
      </c>
      <c r="Q23" s="28">
        <f>100/(Table2[[#This Row],[RNA 
concentration
(ng/uL)]]/10)</f>
        <v>1.6842672595287418</v>
      </c>
      <c r="R23" s="13">
        <f>5-Table2[[#This Row],[vol for 100ng small RNA]]</f>
        <v>3.3157327404712582</v>
      </c>
    </row>
    <row r="24" spans="1:18">
      <c r="A24" s="16" t="s">
        <v>61</v>
      </c>
      <c r="B24" s="37" t="s">
        <v>15</v>
      </c>
      <c r="C24" s="42" t="s">
        <v>100</v>
      </c>
      <c r="D24" s="37" t="s">
        <v>28</v>
      </c>
      <c r="E24" s="69"/>
      <c r="F24" s="48">
        <v>572.14</v>
      </c>
      <c r="G24" s="13">
        <f t="shared" si="4"/>
        <v>5.7214</v>
      </c>
      <c r="H24" s="17"/>
      <c r="I24" s="11"/>
      <c r="J24" s="12"/>
      <c r="K24" s="13"/>
      <c r="L24" s="13"/>
      <c r="M24" s="11"/>
      <c r="N24" s="11"/>
      <c r="O24" s="48">
        <v>9</v>
      </c>
      <c r="P24" s="47" t="s">
        <v>66</v>
      </c>
      <c r="Q24" s="28">
        <f>100/(Table2[[#This Row],[RNA 
concentration
(ng/uL)]]/10)</f>
        <v>1.7478239591708324</v>
      </c>
      <c r="R24" s="13">
        <f>5-Table2[[#This Row],[vol for 100ng small RNA]]</f>
        <v>3.2521760408291676</v>
      </c>
    </row>
    <row r="25" spans="1:18">
      <c r="A25" s="11"/>
      <c r="B25" s="42"/>
      <c r="C25" s="42"/>
      <c r="D25" s="42"/>
      <c r="E25" s="69"/>
      <c r="F25" s="47"/>
      <c r="G25" s="13"/>
      <c r="H25" s="12"/>
      <c r="I25" s="11"/>
      <c r="J25" s="12"/>
      <c r="K25" s="13"/>
      <c r="L25" s="13"/>
      <c r="M25" s="11"/>
      <c r="N25" s="11"/>
      <c r="O25" s="11"/>
      <c r="P25" s="47"/>
      <c r="Q25" s="70" t="e">
        <f>100/(Table2[[#This Row],[RNA 
concentration
(ng/uL)]]/10)</f>
        <v>#DIV/0!</v>
      </c>
      <c r="R25" s="47" t="e">
        <f>5-Table2[[#This Row],[vol for 100ng small RNA]]</f>
        <v>#DIV/0!</v>
      </c>
    </row>
    <row r="26" spans="1:18">
      <c r="A26" s="59"/>
      <c r="B26" s="60"/>
      <c r="C26" s="60"/>
      <c r="D26" s="60"/>
      <c r="E26" s="60"/>
      <c r="F26" s="63"/>
      <c r="G26" s="62"/>
      <c r="H26" s="61"/>
      <c r="I26" s="59"/>
      <c r="J26" s="61"/>
      <c r="K26" s="62"/>
      <c r="L26" s="62"/>
      <c r="M26" s="59"/>
      <c r="N26" s="59"/>
      <c r="O26" s="59"/>
      <c r="P26" s="63"/>
      <c r="Q26" s="63"/>
      <c r="R26" s="63"/>
    </row>
    <row r="27" spans="1:18">
      <c r="A27" s="11" t="s">
        <v>67</v>
      </c>
      <c r="B27" s="51" t="s">
        <v>15</v>
      </c>
      <c r="C27" s="42" t="s">
        <v>100</v>
      </c>
      <c r="D27" s="51" t="s">
        <v>27</v>
      </c>
      <c r="E27" s="73">
        <v>41753</v>
      </c>
      <c r="F27" s="54">
        <v>1145.18</v>
      </c>
      <c r="G27" s="53">
        <f>130*Table2[[#This Row],[RNA 
concentration
(ng/uL)]]/1000</f>
        <v>148.8734</v>
      </c>
      <c r="H27" s="52">
        <v>41754</v>
      </c>
      <c r="I27" s="50">
        <v>1316.31</v>
      </c>
      <c r="J27" s="52"/>
      <c r="K27" s="53">
        <f>1000/Table2[[#This Row],[Cleaned total RNA Concentration
(ng/uL)]]</f>
        <v>0.7596994628924798</v>
      </c>
      <c r="L27" s="53">
        <f>6-Table2[[#This Row],[vol for 1ug
cleaned total RNA]]</f>
        <v>5.2403005371075206</v>
      </c>
      <c r="M27" s="50">
        <v>4</v>
      </c>
      <c r="N27" s="50">
        <v>1</v>
      </c>
      <c r="O27" s="50">
        <v>18</v>
      </c>
      <c r="P27" s="54">
        <v>17.260000000000002</v>
      </c>
      <c r="Q27" s="55"/>
      <c r="R27" s="54"/>
    </row>
    <row r="28" spans="1:18">
      <c r="A28" s="11" t="s">
        <v>68</v>
      </c>
      <c r="B28" s="51" t="s">
        <v>15</v>
      </c>
      <c r="C28" s="42" t="s">
        <v>100</v>
      </c>
      <c r="D28" s="51" t="s">
        <v>27</v>
      </c>
      <c r="E28" s="73">
        <v>41753</v>
      </c>
      <c r="F28" s="54">
        <v>1460.56</v>
      </c>
      <c r="G28" s="53">
        <f>130*Table2[[#This Row],[RNA 
concentration
(ng/uL)]]/1000</f>
        <v>189.87279999999998</v>
      </c>
      <c r="H28" s="52">
        <v>41754</v>
      </c>
      <c r="I28" s="50">
        <v>1948.15</v>
      </c>
      <c r="J28" s="52"/>
      <c r="K28" s="53">
        <f>1000/Table2[[#This Row],[Cleaned total RNA Concentration
(ng/uL)]]</f>
        <v>0.51330749685599153</v>
      </c>
      <c r="L28" s="53">
        <f>6-Table2[[#This Row],[vol for 1ug
cleaned total RNA]]</f>
        <v>5.4866925031440088</v>
      </c>
      <c r="M28" s="50">
        <v>4</v>
      </c>
      <c r="N28" s="50">
        <v>2</v>
      </c>
      <c r="O28" s="50">
        <v>12</v>
      </c>
      <c r="P28" s="54">
        <v>26.01</v>
      </c>
      <c r="Q28" s="55"/>
      <c r="R28" s="54"/>
    </row>
    <row r="29" spans="1:18">
      <c r="A29" s="11" t="s">
        <v>69</v>
      </c>
      <c r="B29" s="51" t="s">
        <v>15</v>
      </c>
      <c r="C29" s="42" t="s">
        <v>100</v>
      </c>
      <c r="D29" s="51" t="s">
        <v>27</v>
      </c>
      <c r="E29" s="73">
        <v>41753</v>
      </c>
      <c r="F29" s="54">
        <v>1091.01</v>
      </c>
      <c r="G29" s="53">
        <f>130*Table2[[#This Row],[RNA 
concentration
(ng/uL)]]/1000</f>
        <v>141.8313</v>
      </c>
      <c r="H29" s="52">
        <v>41754</v>
      </c>
      <c r="I29" s="50">
        <v>1751.64</v>
      </c>
      <c r="J29" s="52"/>
      <c r="K29" s="53">
        <f>1000/Table2[[#This Row],[Cleaned total RNA Concentration
(ng/uL)]]</f>
        <v>0.570893562604188</v>
      </c>
      <c r="L29" s="53">
        <f>6-Table2[[#This Row],[vol for 1ug
cleaned total RNA]]</f>
        <v>5.429106437395812</v>
      </c>
      <c r="M29" s="50">
        <v>4</v>
      </c>
      <c r="N29" s="50">
        <v>1</v>
      </c>
      <c r="O29" s="50">
        <v>5</v>
      </c>
      <c r="P29" s="54">
        <v>3.89</v>
      </c>
      <c r="Q29" s="55"/>
      <c r="R29" s="54"/>
    </row>
    <row r="30" spans="1:18">
      <c r="A30" s="11" t="s">
        <v>70</v>
      </c>
      <c r="B30" s="51" t="s">
        <v>15</v>
      </c>
      <c r="C30" s="42" t="s">
        <v>100</v>
      </c>
      <c r="D30" s="51" t="s">
        <v>27</v>
      </c>
      <c r="E30" s="73">
        <v>41753</v>
      </c>
      <c r="F30" s="54">
        <v>1395.52</v>
      </c>
      <c r="G30" s="53">
        <f>130*Table2[[#This Row],[RNA 
concentration
(ng/uL)]]/1000</f>
        <v>181.41759999999999</v>
      </c>
      <c r="H30" s="52">
        <v>41754</v>
      </c>
      <c r="I30" s="50">
        <v>1970.07</v>
      </c>
      <c r="J30" s="52"/>
      <c r="K30" s="53">
        <f>1000/Table2[[#This Row],[Cleaned total RNA Concentration
(ng/uL)]]</f>
        <v>0.50759617678559643</v>
      </c>
      <c r="L30" s="53">
        <f>6-Table2[[#This Row],[vol for 1ug
cleaned total RNA]]</f>
        <v>5.4924038232144037</v>
      </c>
      <c r="M30" s="50">
        <v>4</v>
      </c>
      <c r="N30" s="50">
        <v>2</v>
      </c>
      <c r="O30" s="50">
        <v>13</v>
      </c>
      <c r="P30" s="54">
        <v>16.05</v>
      </c>
      <c r="Q30" s="55"/>
      <c r="R30" s="54"/>
    </row>
    <row r="31" spans="1:18">
      <c r="A31" s="11" t="s">
        <v>71</v>
      </c>
      <c r="B31" s="51" t="s">
        <v>15</v>
      </c>
      <c r="C31" s="42" t="s">
        <v>100</v>
      </c>
      <c r="D31" s="51" t="s">
        <v>27</v>
      </c>
      <c r="E31" s="73">
        <v>41753</v>
      </c>
      <c r="F31" s="54">
        <v>1351.87</v>
      </c>
      <c r="G31" s="53">
        <f>130*Table2[[#This Row],[RNA 
concentration
(ng/uL)]]/1000</f>
        <v>175.74309999999997</v>
      </c>
      <c r="H31" s="52">
        <v>41754</v>
      </c>
      <c r="I31" s="50">
        <v>1549.86</v>
      </c>
      <c r="J31" s="52"/>
      <c r="K31" s="53">
        <f>1000/Table2[[#This Row],[Cleaned total RNA Concentration
(ng/uL)]]</f>
        <v>0.64521956821906501</v>
      </c>
      <c r="L31" s="53">
        <f>6-Table2[[#This Row],[vol for 1ug
cleaned total RNA]]</f>
        <v>5.3547804317809353</v>
      </c>
      <c r="M31" s="50">
        <v>4</v>
      </c>
      <c r="N31" s="50">
        <v>1</v>
      </c>
      <c r="O31" s="50">
        <v>15</v>
      </c>
      <c r="P31" s="54">
        <v>14.1</v>
      </c>
      <c r="Q31" s="55"/>
      <c r="R31" s="54"/>
    </row>
    <row r="32" spans="1:18">
      <c r="A32" s="11" t="s">
        <v>72</v>
      </c>
      <c r="B32" s="51" t="s">
        <v>15</v>
      </c>
      <c r="C32" s="42" t="s">
        <v>100</v>
      </c>
      <c r="D32" s="51" t="s">
        <v>27</v>
      </c>
      <c r="E32" s="73">
        <v>41753</v>
      </c>
      <c r="F32" s="54">
        <v>1314.02</v>
      </c>
      <c r="G32" s="53">
        <f>130*Table2[[#This Row],[RNA 
concentration
(ng/uL)]]/1000</f>
        <v>170.82259999999999</v>
      </c>
      <c r="H32" s="52">
        <v>41754</v>
      </c>
      <c r="I32" s="50">
        <v>1797.21</v>
      </c>
      <c r="J32" s="52"/>
      <c r="K32" s="53">
        <f>1000/Table2[[#This Row],[Cleaned total RNA Concentration
(ng/uL)]]</f>
        <v>0.55641800346091996</v>
      </c>
      <c r="L32" s="53">
        <f>6-Table2[[#This Row],[vol for 1ug
cleaned total RNA]]</f>
        <v>5.4435819965390797</v>
      </c>
      <c r="M32" s="50">
        <v>4</v>
      </c>
      <c r="N32" s="50">
        <v>2</v>
      </c>
      <c r="O32" s="50">
        <v>19</v>
      </c>
      <c r="P32" s="54">
        <v>44.9</v>
      </c>
      <c r="Q32" s="55"/>
      <c r="R32" s="54"/>
    </row>
    <row r="33" spans="1:20">
      <c r="A33" s="11" t="s">
        <v>73</v>
      </c>
      <c r="B33" s="51" t="s">
        <v>15</v>
      </c>
      <c r="C33" s="42" t="s">
        <v>100</v>
      </c>
      <c r="D33" s="51" t="s">
        <v>27</v>
      </c>
      <c r="E33" s="73">
        <v>41753</v>
      </c>
      <c r="F33" s="54">
        <v>1146.56</v>
      </c>
      <c r="G33" s="53">
        <f>130*Table2[[#This Row],[RNA 
concentration
(ng/uL)]]/1000</f>
        <v>149.05279999999999</v>
      </c>
      <c r="H33" s="52">
        <v>41754</v>
      </c>
      <c r="I33" s="50">
        <v>1293.79</v>
      </c>
      <c r="J33" s="52"/>
      <c r="K33" s="53">
        <f>1000/Table2[[#This Row],[Cleaned total RNA Concentration
(ng/uL)]]</f>
        <v>0.77292296276830086</v>
      </c>
      <c r="L33" s="53">
        <f>6-Table2[[#This Row],[vol for 1ug
cleaned total RNA]]</f>
        <v>5.227077037231699</v>
      </c>
      <c r="M33" s="50">
        <v>4</v>
      </c>
      <c r="N33" s="50">
        <v>1</v>
      </c>
      <c r="O33" s="50">
        <v>16</v>
      </c>
      <c r="P33" s="54">
        <v>79.849999999999994</v>
      </c>
      <c r="Q33" s="55"/>
      <c r="R33" s="54"/>
    </row>
    <row r="34" spans="1:20">
      <c r="A34" s="11" t="s">
        <v>74</v>
      </c>
      <c r="B34" s="51" t="s">
        <v>15</v>
      </c>
      <c r="C34" s="42" t="s">
        <v>100</v>
      </c>
      <c r="D34" s="51" t="s">
        <v>27</v>
      </c>
      <c r="E34" s="73">
        <v>41753</v>
      </c>
      <c r="F34" s="54">
        <v>1064.83</v>
      </c>
      <c r="G34" s="53">
        <f>130*Table2[[#This Row],[RNA 
concentration
(ng/uL)]]/1000</f>
        <v>138.42789999999999</v>
      </c>
      <c r="H34" s="52">
        <v>41754</v>
      </c>
      <c r="I34" s="50">
        <v>1181.19</v>
      </c>
      <c r="J34" s="52"/>
      <c r="K34" s="53">
        <f>1000/Table2[[#This Row],[Cleaned total RNA Concentration
(ng/uL)]]</f>
        <v>0.84660384866109595</v>
      </c>
      <c r="L34" s="53">
        <f>6-Table2[[#This Row],[vol for 1ug
cleaned total RNA]]</f>
        <v>5.1533961513389039</v>
      </c>
      <c r="M34" s="50">
        <v>4</v>
      </c>
      <c r="N34" s="50">
        <v>2</v>
      </c>
      <c r="O34" s="50">
        <v>15</v>
      </c>
      <c r="P34" s="54">
        <v>31.85</v>
      </c>
      <c r="Q34" s="55"/>
      <c r="R34" s="54"/>
    </row>
    <row r="35" spans="1:20">
      <c r="A35" s="11" t="s">
        <v>75</v>
      </c>
      <c r="B35" s="51" t="s">
        <v>15</v>
      </c>
      <c r="C35" s="42" t="s">
        <v>100</v>
      </c>
      <c r="D35" s="51" t="s">
        <v>27</v>
      </c>
      <c r="E35" s="73">
        <v>41753</v>
      </c>
      <c r="F35" s="54">
        <v>1149.72</v>
      </c>
      <c r="G35" s="53">
        <f>130*Table2[[#This Row],[RNA 
concentration
(ng/uL)]]/1000</f>
        <v>149.46360000000001</v>
      </c>
      <c r="H35" s="52">
        <v>41754</v>
      </c>
      <c r="I35" s="50">
        <v>1444.45</v>
      </c>
      <c r="J35" s="52"/>
      <c r="K35" s="53">
        <f>1000/Table2[[#This Row],[Cleaned total RNA Concentration
(ng/uL)]]</f>
        <v>0.69230502959604001</v>
      </c>
      <c r="L35" s="53">
        <f>6-Table2[[#This Row],[vol for 1ug
cleaned total RNA]]</f>
        <v>5.3076949704039595</v>
      </c>
      <c r="M35" s="50">
        <v>4</v>
      </c>
      <c r="N35" s="50">
        <v>1</v>
      </c>
      <c r="O35" s="50">
        <v>14</v>
      </c>
      <c r="P35" s="54">
        <v>2.67</v>
      </c>
      <c r="Q35" s="55"/>
      <c r="R35" s="54"/>
    </row>
    <row r="36" spans="1:20">
      <c r="A36" s="11" t="s">
        <v>76</v>
      </c>
      <c r="B36" s="51" t="s">
        <v>15</v>
      </c>
      <c r="C36" s="42" t="s">
        <v>100</v>
      </c>
      <c r="D36" s="51" t="s">
        <v>27</v>
      </c>
      <c r="E36" s="73">
        <v>41753</v>
      </c>
      <c r="F36" s="54">
        <v>1219.6500000000001</v>
      </c>
      <c r="G36" s="53">
        <f>130*Table2[[#This Row],[RNA 
concentration
(ng/uL)]]/1000</f>
        <v>158.55449999999999</v>
      </c>
      <c r="H36" s="52">
        <v>41754</v>
      </c>
      <c r="I36" s="50">
        <v>1841.77</v>
      </c>
      <c r="J36" s="52"/>
      <c r="K36" s="53">
        <f>1000/Table2[[#This Row],[Cleaned total RNA Concentration
(ng/uL)]]</f>
        <v>0.54295596084201614</v>
      </c>
      <c r="L36" s="53">
        <f>6-Table2[[#This Row],[vol for 1ug
cleaned total RNA]]</f>
        <v>5.4570440391579842</v>
      </c>
      <c r="M36" s="50">
        <v>4</v>
      </c>
      <c r="N36" s="50">
        <v>2</v>
      </c>
      <c r="O36" s="50">
        <v>13</v>
      </c>
      <c r="P36" s="54">
        <v>3.4</v>
      </c>
      <c r="Q36" s="55"/>
      <c r="R36" s="54"/>
    </row>
    <row r="37" spans="1:20">
      <c r="A37" s="11" t="s">
        <v>77</v>
      </c>
      <c r="B37" s="51" t="s">
        <v>15</v>
      </c>
      <c r="C37" s="42" t="s">
        <v>100</v>
      </c>
      <c r="D37" s="51" t="s">
        <v>27</v>
      </c>
      <c r="E37" s="73">
        <v>41753</v>
      </c>
      <c r="F37" s="54">
        <v>1180.0899999999999</v>
      </c>
      <c r="G37" s="53">
        <f>130*Table2[[#This Row],[RNA 
concentration
(ng/uL)]]/1000</f>
        <v>153.4117</v>
      </c>
      <c r="H37" s="52">
        <v>41754</v>
      </c>
      <c r="I37" s="50">
        <v>1577.51</v>
      </c>
      <c r="J37" s="52"/>
      <c r="K37" s="53">
        <f>1000/Table2[[#This Row],[Cleaned total RNA Concentration
(ng/uL)]]</f>
        <v>0.63391040310362534</v>
      </c>
      <c r="L37" s="53">
        <f>6-Table2[[#This Row],[vol for 1ug
cleaned total RNA]]</f>
        <v>5.3660895968963747</v>
      </c>
      <c r="M37" s="50">
        <v>4</v>
      </c>
      <c r="N37" s="50">
        <v>1</v>
      </c>
      <c r="O37" s="50">
        <v>2</v>
      </c>
      <c r="P37" s="54">
        <v>2.67</v>
      </c>
      <c r="Q37" s="55"/>
      <c r="R37" s="54"/>
    </row>
    <row r="38" spans="1:20">
      <c r="A38" s="11" t="s">
        <v>78</v>
      </c>
      <c r="B38" s="51" t="s">
        <v>15</v>
      </c>
      <c r="C38" s="42" t="s">
        <v>100</v>
      </c>
      <c r="D38" s="51" t="s">
        <v>27</v>
      </c>
      <c r="E38" s="73">
        <v>41753</v>
      </c>
      <c r="F38" s="54">
        <v>1139.51</v>
      </c>
      <c r="G38" s="53">
        <f>130*Table2[[#This Row],[RNA 
concentration
(ng/uL)]]/1000</f>
        <v>148.13629999999998</v>
      </c>
      <c r="H38" s="52">
        <v>41754</v>
      </c>
      <c r="I38" s="50">
        <v>1936.06</v>
      </c>
      <c r="J38" s="52"/>
      <c r="K38" s="53">
        <f>1000/Table2[[#This Row],[Cleaned total RNA Concentration
(ng/uL)]]</f>
        <v>0.51651291798807886</v>
      </c>
      <c r="L38" s="53">
        <f>6-Table2[[#This Row],[vol for 1ug
cleaned total RNA]]</f>
        <v>5.483487082011921</v>
      </c>
      <c r="M38" s="50">
        <v>4</v>
      </c>
      <c r="N38" s="50">
        <v>2</v>
      </c>
      <c r="O38" s="50">
        <v>14</v>
      </c>
      <c r="P38" s="54">
        <v>6.32</v>
      </c>
      <c r="Q38" s="55"/>
      <c r="R38" s="54"/>
    </row>
    <row r="39" spans="1:20">
      <c r="A39" s="11" t="s">
        <v>79</v>
      </c>
      <c r="B39" s="51" t="s">
        <v>15</v>
      </c>
      <c r="C39" s="42" t="s">
        <v>100</v>
      </c>
      <c r="D39" s="51" t="s">
        <v>27</v>
      </c>
      <c r="E39" s="73">
        <v>41753</v>
      </c>
      <c r="F39" s="54">
        <v>1245.1300000000001</v>
      </c>
      <c r="G39" s="53">
        <f>130*Table2[[#This Row],[RNA 
concentration
(ng/uL)]]/1000</f>
        <v>161.86690000000002</v>
      </c>
      <c r="H39" s="52">
        <v>41754</v>
      </c>
      <c r="I39" s="50">
        <v>1824.07</v>
      </c>
      <c r="J39" s="52"/>
      <c r="K39" s="53">
        <f>1000/Table2[[#This Row],[Cleaned total RNA Concentration
(ng/uL)]]</f>
        <v>0.54822457471478614</v>
      </c>
      <c r="L39" s="53">
        <f>6-Table2[[#This Row],[vol for 1ug
cleaned total RNA]]</f>
        <v>5.4517754252852137</v>
      </c>
      <c r="M39" s="50">
        <v>4</v>
      </c>
      <c r="N39" s="50">
        <v>1</v>
      </c>
      <c r="O39" s="50">
        <v>18</v>
      </c>
      <c r="P39" s="54">
        <v>33.31</v>
      </c>
      <c r="Q39" s="55"/>
      <c r="R39" s="54"/>
    </row>
    <row r="40" spans="1:20">
      <c r="A40" s="11" t="s">
        <v>80</v>
      </c>
      <c r="B40" s="51" t="s">
        <v>15</v>
      </c>
      <c r="C40" s="42" t="s">
        <v>100</v>
      </c>
      <c r="D40" s="51" t="s">
        <v>27</v>
      </c>
      <c r="E40" s="73">
        <v>41753</v>
      </c>
      <c r="F40" s="54">
        <v>1137.77</v>
      </c>
      <c r="G40" s="53">
        <f>130*Table2[[#This Row],[RNA 
concentration
(ng/uL)]]/1000</f>
        <v>147.9101</v>
      </c>
      <c r="H40" s="52">
        <v>41754</v>
      </c>
      <c r="I40" s="50">
        <v>1379.06</v>
      </c>
      <c r="J40" s="52"/>
      <c r="K40" s="53">
        <f>1000/Table2[[#This Row],[Cleaned total RNA Concentration
(ng/uL)]]</f>
        <v>0.72513161138746685</v>
      </c>
      <c r="L40" s="53">
        <f>6-Table2[[#This Row],[vol for 1ug
cleaned total RNA]]</f>
        <v>5.2748683886125329</v>
      </c>
      <c r="M40" s="50">
        <v>4</v>
      </c>
      <c r="N40" s="50">
        <v>2</v>
      </c>
      <c r="O40" s="50">
        <v>7</v>
      </c>
      <c r="P40" s="54">
        <v>23.83</v>
      </c>
      <c r="Q40" s="55"/>
      <c r="R40" s="54">
        <f>5-Table2[[#This Row],[vol for 100ng small RNA]]</f>
        <v>5</v>
      </c>
    </row>
    <row r="41" spans="1:20">
      <c r="A41" s="30" t="s">
        <v>81</v>
      </c>
      <c r="B41" s="105" t="s">
        <v>15</v>
      </c>
      <c r="C41" s="106" t="s">
        <v>100</v>
      </c>
      <c r="D41" s="105" t="s">
        <v>27</v>
      </c>
      <c r="E41" s="107">
        <v>41753</v>
      </c>
      <c r="F41" s="111">
        <v>983.6</v>
      </c>
      <c r="G41" s="109">
        <f>130*Table2[[#This Row],[RNA 
concentration
(ng/uL)]]/1000</f>
        <v>127.86799999999999</v>
      </c>
      <c r="H41" s="110">
        <v>41754</v>
      </c>
      <c r="I41" s="108">
        <v>1715.4</v>
      </c>
      <c r="J41" s="110"/>
      <c r="K41" s="109">
        <f>1000/Table2[[#This Row],[Cleaned total RNA Concentration
(ng/uL)]]</f>
        <v>0.58295441296490613</v>
      </c>
      <c r="L41" s="109">
        <f>6-Table2[[#This Row],[vol for 1ug
cleaned total RNA]]</f>
        <v>5.4170455870350942</v>
      </c>
      <c r="M41" s="108">
        <v>4</v>
      </c>
      <c r="N41" s="108">
        <v>1</v>
      </c>
      <c r="O41" s="108">
        <v>6</v>
      </c>
      <c r="P41" s="111">
        <v>2.92</v>
      </c>
      <c r="Q41" s="112"/>
      <c r="R41" s="111">
        <f>5-Table2[[#This Row],[vol for 100ng small RNA]]</f>
        <v>5</v>
      </c>
      <c r="T41" t="s">
        <v>203</v>
      </c>
    </row>
    <row r="42" spans="1:20">
      <c r="A42" s="11" t="s">
        <v>82</v>
      </c>
      <c r="B42" s="51" t="s">
        <v>15</v>
      </c>
      <c r="C42" s="42" t="s">
        <v>100</v>
      </c>
      <c r="D42" s="51" t="s">
        <v>27</v>
      </c>
      <c r="E42" s="73">
        <v>41753</v>
      </c>
      <c r="F42" s="54">
        <v>1212.8</v>
      </c>
      <c r="G42" s="53">
        <f>130*Table2[[#This Row],[RNA 
concentration
(ng/uL)]]/1000</f>
        <v>157.66399999999999</v>
      </c>
      <c r="H42" s="52">
        <v>41754</v>
      </c>
      <c r="I42" s="50">
        <v>1902.31</v>
      </c>
      <c r="J42" s="52"/>
      <c r="K42" s="53"/>
      <c r="L42" s="53"/>
      <c r="M42" s="50"/>
      <c r="N42" s="50"/>
      <c r="O42" s="50"/>
      <c r="P42" s="54"/>
      <c r="Q42" s="55"/>
      <c r="R42" s="54">
        <f>5-Table2[[#This Row],[vol for 100ng small RNA]]</f>
        <v>5</v>
      </c>
      <c r="T42" t="s">
        <v>204</v>
      </c>
    </row>
    <row r="43" spans="1:20">
      <c r="A43" s="98" t="s">
        <v>102</v>
      </c>
      <c r="B43" s="99" t="s">
        <v>15</v>
      </c>
      <c r="C43" s="44" t="s">
        <v>100</v>
      </c>
      <c r="D43" s="99" t="s">
        <v>27</v>
      </c>
      <c r="E43" s="100">
        <v>41668</v>
      </c>
      <c r="F43" s="103">
        <v>1751.68</v>
      </c>
      <c r="G43" s="101">
        <f>130*F43/1000</f>
        <v>227.7184</v>
      </c>
      <c r="H43" s="102">
        <v>41669</v>
      </c>
      <c r="I43" s="98">
        <v>1751.2</v>
      </c>
      <c r="J43" s="102"/>
      <c r="K43" s="101">
        <f>1000/I43</f>
        <v>0.57103700319780726</v>
      </c>
      <c r="L43" s="101">
        <f>6-K43</f>
        <v>5.4289629968021931</v>
      </c>
      <c r="M43" s="98">
        <v>4</v>
      </c>
      <c r="N43" s="98">
        <v>2</v>
      </c>
      <c r="O43" s="98">
        <v>4</v>
      </c>
      <c r="P43" s="103">
        <v>6.32</v>
      </c>
      <c r="Q43" s="104" t="e">
        <f>100/#REF!</f>
        <v>#REF!</v>
      </c>
      <c r="R43" s="103" t="e">
        <f>5-Table2[[#This Row],[vol for 100ng small RNA]]</f>
        <v>#REF!</v>
      </c>
    </row>
    <row r="44" spans="1:20">
      <c r="A44" s="11" t="s">
        <v>83</v>
      </c>
      <c r="B44" s="51" t="s">
        <v>15</v>
      </c>
      <c r="C44" s="42" t="s">
        <v>100</v>
      </c>
      <c r="D44" s="51" t="s">
        <v>27</v>
      </c>
      <c r="E44" s="69">
        <v>41754</v>
      </c>
      <c r="F44" s="54">
        <v>208.38</v>
      </c>
      <c r="G44" s="13">
        <f>30*F44/1000</f>
        <v>6.2513999999999994</v>
      </c>
      <c r="H44" s="12"/>
      <c r="I44" s="11"/>
      <c r="J44" s="52">
        <v>41754</v>
      </c>
      <c r="K44" s="13"/>
      <c r="L44" s="13"/>
      <c r="M44" s="11"/>
      <c r="N44" s="11"/>
      <c r="O44" s="11">
        <v>37</v>
      </c>
      <c r="P44" s="47"/>
      <c r="Q44" s="28">
        <f>100/(F44/5)</f>
        <v>2.3994625203954314</v>
      </c>
      <c r="R44" s="47">
        <f>5-Table2[[#This Row],[vol for 100ng small RNA]]</f>
        <v>2.6005374796045686</v>
      </c>
    </row>
    <row r="45" spans="1:20">
      <c r="A45" s="11" t="s">
        <v>84</v>
      </c>
      <c r="B45" s="51" t="s">
        <v>15</v>
      </c>
      <c r="C45" s="42" t="s">
        <v>100</v>
      </c>
      <c r="D45" s="51" t="s">
        <v>27</v>
      </c>
      <c r="E45" s="69">
        <v>41754</v>
      </c>
      <c r="F45" s="47">
        <v>364.78</v>
      </c>
      <c r="G45" s="13">
        <f t="shared" ref="G45:G59" si="5">30*F45/1000</f>
        <v>10.9434</v>
      </c>
      <c r="H45" s="12"/>
      <c r="I45" s="11"/>
      <c r="J45" s="52">
        <v>41754</v>
      </c>
      <c r="K45" s="13"/>
      <c r="L45" s="13"/>
      <c r="M45" s="11"/>
      <c r="N45" s="11"/>
      <c r="O45" s="11">
        <v>10</v>
      </c>
      <c r="P45" s="47"/>
      <c r="Q45" s="28">
        <f t="shared" ref="Q45:Q57" si="6">100/(F45/5)</f>
        <v>1.3706891825209717</v>
      </c>
      <c r="R45" s="13">
        <f>5-Table2[[#This Row],[vol for 100ng small RNA]]</f>
        <v>3.6293108174790283</v>
      </c>
    </row>
    <row r="46" spans="1:20">
      <c r="A46" s="11" t="s">
        <v>85</v>
      </c>
      <c r="B46" s="51" t="s">
        <v>15</v>
      </c>
      <c r="C46" s="42" t="s">
        <v>100</v>
      </c>
      <c r="D46" s="51" t="s">
        <v>27</v>
      </c>
      <c r="E46" s="69">
        <v>41754</v>
      </c>
      <c r="F46" s="47">
        <v>555.11</v>
      </c>
      <c r="G46" s="13">
        <f t="shared" si="5"/>
        <v>16.653299999999998</v>
      </c>
      <c r="H46" s="12"/>
      <c r="I46" s="11"/>
      <c r="J46" s="52">
        <v>41754</v>
      </c>
      <c r="K46" s="13"/>
      <c r="L46" s="13"/>
      <c r="M46" s="11"/>
      <c r="N46" s="11"/>
      <c r="O46" s="11">
        <v>3</v>
      </c>
      <c r="P46" s="47"/>
      <c r="Q46" s="28">
        <f t="shared" si="6"/>
        <v>0.90072237934823729</v>
      </c>
      <c r="R46" s="13">
        <f>5-Table2[[#This Row],[vol for 100ng small RNA]]</f>
        <v>4.0992776206517627</v>
      </c>
    </row>
    <row r="47" spans="1:20">
      <c r="A47" s="11" t="s">
        <v>86</v>
      </c>
      <c r="B47" s="51" t="s">
        <v>15</v>
      </c>
      <c r="C47" s="42" t="s">
        <v>100</v>
      </c>
      <c r="D47" s="51" t="s">
        <v>27</v>
      </c>
      <c r="E47" s="69">
        <v>41754</v>
      </c>
      <c r="F47" s="47">
        <v>450.39</v>
      </c>
      <c r="G47" s="13">
        <f t="shared" si="5"/>
        <v>13.511699999999999</v>
      </c>
      <c r="H47" s="12"/>
      <c r="I47" s="11"/>
      <c r="J47" s="52">
        <v>41754</v>
      </c>
      <c r="K47" s="13"/>
      <c r="L47" s="13"/>
      <c r="M47" s="11"/>
      <c r="N47" s="11"/>
      <c r="O47" s="11">
        <v>7</v>
      </c>
      <c r="P47" s="47"/>
      <c r="Q47" s="28">
        <f t="shared" si="6"/>
        <v>1.1101489819933834</v>
      </c>
      <c r="R47" s="13">
        <f>5-Table2[[#This Row],[vol for 100ng small RNA]]</f>
        <v>3.8898510180066168</v>
      </c>
    </row>
    <row r="48" spans="1:20">
      <c r="A48" s="11" t="s">
        <v>87</v>
      </c>
      <c r="B48" s="51" t="s">
        <v>15</v>
      </c>
      <c r="C48" s="42" t="s">
        <v>100</v>
      </c>
      <c r="D48" s="51" t="s">
        <v>27</v>
      </c>
      <c r="E48" s="69">
        <v>41754</v>
      </c>
      <c r="F48" s="47">
        <v>183.36</v>
      </c>
      <c r="G48" s="13">
        <f t="shared" si="5"/>
        <v>5.5007999999999999</v>
      </c>
      <c r="H48" s="12"/>
      <c r="I48" s="11"/>
      <c r="J48" s="52">
        <v>41754</v>
      </c>
      <c r="K48" s="13"/>
      <c r="L48" s="13"/>
      <c r="M48" s="11"/>
      <c r="N48" s="11"/>
      <c r="O48" s="11">
        <v>39</v>
      </c>
      <c r="P48" s="47"/>
      <c r="Q48" s="28">
        <f t="shared" si="6"/>
        <v>2.7268760907504359</v>
      </c>
      <c r="R48" s="13">
        <f>5-Table2[[#This Row],[vol for 100ng small RNA]]</f>
        <v>2.2731239092495641</v>
      </c>
    </row>
    <row r="49" spans="1:18">
      <c r="A49" s="11" t="s">
        <v>88</v>
      </c>
      <c r="B49" s="51" t="s">
        <v>15</v>
      </c>
      <c r="C49" s="42" t="s">
        <v>100</v>
      </c>
      <c r="D49" s="51" t="s">
        <v>27</v>
      </c>
      <c r="E49" s="69">
        <v>41754</v>
      </c>
      <c r="F49" s="47">
        <v>167.67</v>
      </c>
      <c r="G49" s="13">
        <f t="shared" si="5"/>
        <v>5.0300999999999991</v>
      </c>
      <c r="H49" s="12"/>
      <c r="I49" s="11"/>
      <c r="J49" s="52">
        <v>41754</v>
      </c>
      <c r="K49" s="13"/>
      <c r="L49" s="13"/>
      <c r="M49" s="11"/>
      <c r="N49" s="11"/>
      <c r="O49" s="11">
        <v>11</v>
      </c>
      <c r="P49" s="47"/>
      <c r="Q49" s="28">
        <f t="shared" si="6"/>
        <v>2.9820480706148986</v>
      </c>
      <c r="R49" s="13">
        <f>5-Table2[[#This Row],[vol for 100ng small RNA]]</f>
        <v>2.0179519293851014</v>
      </c>
    </row>
    <row r="50" spans="1:18">
      <c r="A50" s="11" t="s">
        <v>89</v>
      </c>
      <c r="B50" s="51" t="s">
        <v>15</v>
      </c>
      <c r="C50" s="42" t="s">
        <v>100</v>
      </c>
      <c r="D50" s="51" t="s">
        <v>27</v>
      </c>
      <c r="E50" s="69">
        <v>41754</v>
      </c>
      <c r="F50" s="47">
        <v>307.32</v>
      </c>
      <c r="G50" s="13">
        <f t="shared" si="5"/>
        <v>9.2195999999999998</v>
      </c>
      <c r="H50" s="12"/>
      <c r="I50" s="11"/>
      <c r="J50" s="52">
        <v>41754</v>
      </c>
      <c r="K50" s="13"/>
      <c r="L50" s="13"/>
      <c r="M50" s="11"/>
      <c r="N50" s="11"/>
      <c r="O50" s="11">
        <v>9</v>
      </c>
      <c r="P50" s="47"/>
      <c r="Q50" s="28">
        <f t="shared" si="6"/>
        <v>1.6269686320447743</v>
      </c>
      <c r="R50" s="13">
        <f>5-Table2[[#This Row],[vol for 100ng small RNA]]</f>
        <v>3.3730313679552255</v>
      </c>
    </row>
    <row r="51" spans="1:18">
      <c r="A51" s="11" t="s">
        <v>90</v>
      </c>
      <c r="B51" s="51" t="s">
        <v>15</v>
      </c>
      <c r="C51" s="42" t="s">
        <v>100</v>
      </c>
      <c r="D51" s="51" t="s">
        <v>27</v>
      </c>
      <c r="E51" s="69">
        <v>41754</v>
      </c>
      <c r="F51" s="47">
        <v>677.27</v>
      </c>
      <c r="G51" s="13">
        <f t="shared" si="5"/>
        <v>20.318099999999998</v>
      </c>
      <c r="H51" s="12"/>
      <c r="I51" s="11"/>
      <c r="J51" s="52">
        <v>41754</v>
      </c>
      <c r="K51" s="13"/>
      <c r="L51" s="13"/>
      <c r="M51" s="11"/>
      <c r="N51" s="11"/>
      <c r="O51" s="11">
        <v>40</v>
      </c>
      <c r="P51" s="47"/>
      <c r="Q51" s="28">
        <f t="shared" si="6"/>
        <v>0.73825800640807948</v>
      </c>
      <c r="R51" s="13">
        <f>5-Table2[[#This Row],[vol for 100ng small RNA]]</f>
        <v>4.2617419935919205</v>
      </c>
    </row>
    <row r="52" spans="1:18">
      <c r="A52" s="11" t="s">
        <v>91</v>
      </c>
      <c r="B52" s="51" t="s">
        <v>15</v>
      </c>
      <c r="C52" s="42" t="s">
        <v>100</v>
      </c>
      <c r="D52" s="51" t="s">
        <v>27</v>
      </c>
      <c r="E52" s="69">
        <v>41754</v>
      </c>
      <c r="F52" s="47">
        <v>472.48</v>
      </c>
      <c r="G52" s="13">
        <f t="shared" si="5"/>
        <v>14.174400000000002</v>
      </c>
      <c r="H52" s="12"/>
      <c r="I52" s="50"/>
      <c r="J52" s="52">
        <v>41754</v>
      </c>
      <c r="K52" s="53"/>
      <c r="L52" s="53"/>
      <c r="M52" s="50"/>
      <c r="N52" s="50"/>
      <c r="O52" s="50">
        <v>6</v>
      </c>
      <c r="P52" s="54"/>
      <c r="Q52" s="28">
        <f t="shared" si="6"/>
        <v>1.0582458516762614</v>
      </c>
      <c r="R52" s="53">
        <f>5-Table2[[#This Row],[vol for 100ng small RNA]]</f>
        <v>3.9417541483237386</v>
      </c>
    </row>
    <row r="53" spans="1:18">
      <c r="A53" s="11" t="s">
        <v>92</v>
      </c>
      <c r="B53" s="51" t="s">
        <v>15</v>
      </c>
      <c r="C53" s="42" t="s">
        <v>100</v>
      </c>
      <c r="D53" s="51" t="s">
        <v>27</v>
      </c>
      <c r="E53" s="69">
        <v>41754</v>
      </c>
      <c r="F53" s="47">
        <v>400.92</v>
      </c>
      <c r="G53" s="13">
        <f t="shared" si="5"/>
        <v>12.0276</v>
      </c>
      <c r="H53" s="12"/>
      <c r="I53" s="11"/>
      <c r="J53" s="52">
        <v>41754</v>
      </c>
      <c r="K53" s="13"/>
      <c r="L53" s="13"/>
      <c r="M53" s="11"/>
      <c r="N53" s="11"/>
      <c r="O53" s="11">
        <v>5</v>
      </c>
      <c r="P53" s="47"/>
      <c r="Q53" s="28">
        <f t="shared" si="6"/>
        <v>1.2471315973261499</v>
      </c>
      <c r="R53" s="13">
        <f>5-Table2[[#This Row],[vol for 100ng small RNA]]</f>
        <v>3.7528684026738501</v>
      </c>
    </row>
    <row r="54" spans="1:18">
      <c r="A54" s="11" t="s">
        <v>93</v>
      </c>
      <c r="B54" s="51" t="s">
        <v>15</v>
      </c>
      <c r="C54" s="42" t="s">
        <v>100</v>
      </c>
      <c r="D54" s="51" t="s">
        <v>27</v>
      </c>
      <c r="E54" s="69">
        <v>41754</v>
      </c>
      <c r="F54" s="47">
        <v>785.34</v>
      </c>
      <c r="G54" s="13">
        <f t="shared" si="5"/>
        <v>23.560200000000002</v>
      </c>
      <c r="H54" s="12"/>
      <c r="I54" s="50"/>
      <c r="J54" s="52">
        <v>41754</v>
      </c>
      <c r="K54" s="53"/>
      <c r="L54" s="53"/>
      <c r="M54" s="50"/>
      <c r="N54" s="50"/>
      <c r="O54" s="50">
        <v>1</v>
      </c>
      <c r="P54" s="54"/>
      <c r="Q54" s="28">
        <f t="shared" si="6"/>
        <v>0.63666692133343517</v>
      </c>
      <c r="R54" s="53">
        <f>5-Table2[[#This Row],[vol for 100ng small RNA]]</f>
        <v>4.3633330786665647</v>
      </c>
    </row>
    <row r="55" spans="1:18">
      <c r="A55" s="11" t="s">
        <v>94</v>
      </c>
      <c r="B55" s="51" t="s">
        <v>15</v>
      </c>
      <c r="C55" s="42" t="s">
        <v>100</v>
      </c>
      <c r="D55" s="51" t="s">
        <v>27</v>
      </c>
      <c r="E55" s="69">
        <v>41754</v>
      </c>
      <c r="F55" s="47">
        <v>720.84</v>
      </c>
      <c r="G55" s="13">
        <f t="shared" si="5"/>
        <v>21.6252</v>
      </c>
      <c r="H55" s="12"/>
      <c r="I55" s="11"/>
      <c r="J55" s="52">
        <v>41754</v>
      </c>
      <c r="K55" s="13"/>
      <c r="L55" s="13"/>
      <c r="M55" s="11"/>
      <c r="N55" s="11"/>
      <c r="O55" s="11">
        <v>8</v>
      </c>
      <c r="P55" s="47"/>
      <c r="Q55" s="28">
        <f t="shared" si="6"/>
        <v>0.69363520337384155</v>
      </c>
      <c r="R55" s="13">
        <f>5-Table2[[#This Row],[vol for 100ng small RNA]]</f>
        <v>4.3063647966261582</v>
      </c>
    </row>
    <row r="56" spans="1:18">
      <c r="A56" s="11" t="s">
        <v>95</v>
      </c>
      <c r="B56" s="51" t="s">
        <v>15</v>
      </c>
      <c r="C56" s="42" t="s">
        <v>100</v>
      </c>
      <c r="D56" s="51" t="s">
        <v>27</v>
      </c>
      <c r="E56" s="69">
        <v>41754</v>
      </c>
      <c r="F56" s="47">
        <v>342.72</v>
      </c>
      <c r="G56" s="13">
        <f t="shared" si="5"/>
        <v>10.281600000000001</v>
      </c>
      <c r="H56" s="12"/>
      <c r="I56" s="11"/>
      <c r="J56" s="52">
        <v>41754</v>
      </c>
      <c r="K56" s="13"/>
      <c r="L56" s="13"/>
      <c r="M56" s="11"/>
      <c r="N56" s="11"/>
      <c r="O56" s="11">
        <v>12</v>
      </c>
      <c r="P56" s="47"/>
      <c r="Q56" s="28" t="s">
        <v>118</v>
      </c>
      <c r="R56" s="13" t="e">
        <f>5-Table2[[#This Row],[vol for 100ng small RNA]]</f>
        <v>#VALUE!</v>
      </c>
    </row>
    <row r="57" spans="1:18">
      <c r="A57" s="11" t="s">
        <v>96</v>
      </c>
      <c r="B57" s="51" t="s">
        <v>15</v>
      </c>
      <c r="C57" s="42" t="s">
        <v>100</v>
      </c>
      <c r="D57" s="51" t="s">
        <v>27</v>
      </c>
      <c r="E57" s="69">
        <v>41754</v>
      </c>
      <c r="F57" s="58">
        <v>434.53</v>
      </c>
      <c r="G57" s="13">
        <f t="shared" si="5"/>
        <v>13.0359</v>
      </c>
      <c r="H57" s="12"/>
      <c r="I57" s="56"/>
      <c r="J57" s="52">
        <v>41754</v>
      </c>
      <c r="K57" s="57"/>
      <c r="L57" s="57"/>
      <c r="M57" s="56"/>
      <c r="N57" s="56"/>
      <c r="O57" s="56">
        <v>38</v>
      </c>
      <c r="P57" s="58"/>
      <c r="Q57" s="28">
        <f t="shared" si="6"/>
        <v>1.1506685384208226</v>
      </c>
      <c r="R57" s="57">
        <f>5-Table2[[#This Row],[vol for 100ng small RNA]]</f>
        <v>3.8493314615791774</v>
      </c>
    </row>
    <row r="58" spans="1:18">
      <c r="A58" s="30" t="s">
        <v>97</v>
      </c>
      <c r="B58" s="105" t="s">
        <v>15</v>
      </c>
      <c r="C58" s="106" t="s">
        <v>100</v>
      </c>
      <c r="D58" s="105" t="s">
        <v>27</v>
      </c>
      <c r="E58" s="116">
        <v>41754</v>
      </c>
      <c r="F58" s="115">
        <v>222.41</v>
      </c>
      <c r="G58" s="113">
        <f t="shared" si="5"/>
        <v>6.6722999999999999</v>
      </c>
      <c r="H58" s="114"/>
      <c r="I58" s="30"/>
      <c r="J58" s="110">
        <v>41754</v>
      </c>
      <c r="K58" s="113"/>
      <c r="L58" s="113"/>
      <c r="M58" s="30"/>
      <c r="N58" s="30"/>
      <c r="O58" s="30">
        <v>2</v>
      </c>
      <c r="P58" s="115"/>
      <c r="Q58" s="118">
        <f>100/(F58/5)</f>
        <v>2.2481003551998562</v>
      </c>
      <c r="R58" s="113">
        <f>5-Table2[[#This Row],[vol for 100ng small RNA]]</f>
        <v>2.7518996448001438</v>
      </c>
    </row>
    <row r="59" spans="1:18">
      <c r="A59" s="11" t="s">
        <v>98</v>
      </c>
      <c r="B59" s="51" t="s">
        <v>15</v>
      </c>
      <c r="C59" s="42" t="s">
        <v>100</v>
      </c>
      <c r="D59" s="51" t="s">
        <v>27</v>
      </c>
      <c r="E59" s="69">
        <v>41754</v>
      </c>
      <c r="F59" s="47">
        <v>274.93</v>
      </c>
      <c r="G59" s="13">
        <f t="shared" si="5"/>
        <v>8.2478999999999996</v>
      </c>
      <c r="H59" s="12"/>
      <c r="I59" s="11"/>
      <c r="J59" s="52">
        <v>41754</v>
      </c>
      <c r="K59" s="13"/>
      <c r="L59" s="13"/>
      <c r="M59" s="11"/>
      <c r="N59" s="11"/>
      <c r="O59" s="11" t="s">
        <v>17</v>
      </c>
      <c r="P59" s="47"/>
      <c r="Q59" s="28" t="s">
        <v>171</v>
      </c>
      <c r="R59" s="13" t="e">
        <f>5-Table2[[#This Row],[vol for 100ng small RNA]]</f>
        <v>#VALUE!</v>
      </c>
    </row>
    <row r="60" spans="1:18">
      <c r="A60" s="11" t="s">
        <v>122</v>
      </c>
      <c r="B60" s="51" t="s">
        <v>15</v>
      </c>
      <c r="C60" s="42" t="s">
        <v>100</v>
      </c>
      <c r="D60" s="51" t="s">
        <v>27</v>
      </c>
      <c r="E60" s="69">
        <v>41669</v>
      </c>
      <c r="F60" s="47">
        <v>600.88</v>
      </c>
      <c r="G60" s="13"/>
      <c r="H60" s="12"/>
      <c r="I60" s="11"/>
      <c r="J60" s="12">
        <v>41669</v>
      </c>
      <c r="K60" s="13"/>
      <c r="L60" s="13"/>
      <c r="M60" s="11"/>
      <c r="N60" s="11"/>
      <c r="O60" s="11">
        <v>4</v>
      </c>
      <c r="P60" s="47"/>
      <c r="Q60" s="28">
        <f>100/(F60/5)</f>
        <v>0.83211290107841829</v>
      </c>
      <c r="R60" s="13">
        <f>5-Table2[[#This Row],[vol for 100ng small RNA]]</f>
        <v>4.1678870989215815</v>
      </c>
    </row>
    <row r="61" spans="1:18">
      <c r="A61" s="64"/>
      <c r="B61" s="65"/>
      <c r="C61" s="65"/>
      <c r="D61" s="65"/>
      <c r="E61" s="65"/>
      <c r="F61" s="68"/>
      <c r="G61" s="67"/>
      <c r="H61" s="66"/>
      <c r="I61" s="64"/>
      <c r="J61" s="66"/>
      <c r="K61" s="67"/>
      <c r="L61" s="67"/>
      <c r="M61" s="64"/>
      <c r="N61" s="64"/>
      <c r="O61" s="64"/>
      <c r="P61" s="68"/>
      <c r="Q61" s="28"/>
      <c r="R61" s="68">
        <f>5-Table2[[#This Row],[vol for 100ng small RNA]]</f>
        <v>5</v>
      </c>
    </row>
    <row r="62" spans="1:18">
      <c r="A62" s="11" t="s">
        <v>81</v>
      </c>
      <c r="B62" s="42" t="s">
        <v>15</v>
      </c>
      <c r="C62" s="42" t="s">
        <v>101</v>
      </c>
      <c r="D62" s="42" t="s">
        <v>27</v>
      </c>
      <c r="E62" s="69">
        <v>41760</v>
      </c>
      <c r="F62" s="47">
        <v>1032.3900000000001</v>
      </c>
      <c r="G62" s="13">
        <f>Table2[[#This Row],[RNA 
concentration
(ng/uL)]]*130/1000</f>
        <v>134.2107</v>
      </c>
      <c r="H62" s="12">
        <v>41761</v>
      </c>
      <c r="I62" s="11">
        <v>2375.4</v>
      </c>
      <c r="J62" s="12"/>
      <c r="K62" s="13">
        <f>1000/I62</f>
        <v>0.42098172939294431</v>
      </c>
      <c r="L62" s="13">
        <f>6-K62</f>
        <v>5.5790182706070555</v>
      </c>
      <c r="M62" s="11">
        <v>4</v>
      </c>
      <c r="N62" s="11">
        <v>1</v>
      </c>
      <c r="O62" s="11">
        <v>2</v>
      </c>
      <c r="P62" s="47">
        <v>25.4</v>
      </c>
      <c r="Q62" s="70" t="s">
        <v>118</v>
      </c>
      <c r="R62" s="47" t="e">
        <f>5-Table2[[#This Row],[vol for 100ng small RNA]]</f>
        <v>#VALUE!</v>
      </c>
    </row>
    <row r="63" spans="1:18">
      <c r="A63" s="11" t="s">
        <v>102</v>
      </c>
      <c r="B63" s="42" t="s">
        <v>15</v>
      </c>
      <c r="C63" s="42" t="s">
        <v>101</v>
      </c>
      <c r="D63" s="42" t="s">
        <v>27</v>
      </c>
      <c r="E63" s="69">
        <v>41760</v>
      </c>
      <c r="F63" s="47">
        <v>1248.07</v>
      </c>
      <c r="G63" s="13">
        <f>Table2[[#This Row],[RNA 
concentration
(ng/uL)]]*130/1000</f>
        <v>162.2491</v>
      </c>
      <c r="H63" s="12">
        <v>41761</v>
      </c>
      <c r="I63" s="11">
        <v>1804.25</v>
      </c>
      <c r="J63" s="12"/>
      <c r="K63" s="13">
        <f t="shared" ref="K63:K69" si="7">1000/I63</f>
        <v>0.55424691700152418</v>
      </c>
      <c r="L63" s="13">
        <f t="shared" ref="L63:L69" si="8">6-K63</f>
        <v>5.4457530829984755</v>
      </c>
      <c r="M63" s="11">
        <v>4</v>
      </c>
      <c r="N63" s="11">
        <v>2</v>
      </c>
      <c r="O63" s="11">
        <v>5</v>
      </c>
      <c r="P63" s="47">
        <v>60</v>
      </c>
      <c r="Q63" s="70"/>
      <c r="R63" s="47">
        <f>5-Table2[[#This Row],[vol for 100ng small RNA]]</f>
        <v>5</v>
      </c>
    </row>
    <row r="64" spans="1:18">
      <c r="A64" s="11" t="s">
        <v>103</v>
      </c>
      <c r="B64" s="42" t="s">
        <v>15</v>
      </c>
      <c r="C64" s="42" t="s">
        <v>101</v>
      </c>
      <c r="D64" s="42" t="s">
        <v>27</v>
      </c>
      <c r="E64" s="69">
        <v>41760</v>
      </c>
      <c r="F64" s="47">
        <v>1079.06</v>
      </c>
      <c r="G64" s="13">
        <f>Table2[[#This Row],[RNA 
concentration
(ng/uL)]]*130/1000</f>
        <v>140.27779999999998</v>
      </c>
      <c r="H64" s="12">
        <v>41761</v>
      </c>
      <c r="I64" s="11">
        <v>2095.77</v>
      </c>
      <c r="J64" s="12"/>
      <c r="K64" s="13">
        <f t="shared" si="7"/>
        <v>0.47715159583351224</v>
      </c>
      <c r="L64" s="13">
        <f t="shared" si="8"/>
        <v>5.5228484041664876</v>
      </c>
      <c r="M64" s="11">
        <v>4</v>
      </c>
      <c r="N64" s="11">
        <v>1</v>
      </c>
      <c r="O64" s="11">
        <v>6</v>
      </c>
      <c r="P64" s="47">
        <v>9.5</v>
      </c>
      <c r="Q64" s="70"/>
      <c r="R64" s="47">
        <f>5-Table2[[#This Row],[vol for 100ng small RNA]]</f>
        <v>5</v>
      </c>
    </row>
    <row r="65" spans="1:24">
      <c r="A65" s="11" t="s">
        <v>104</v>
      </c>
      <c r="B65" s="42" t="s">
        <v>15</v>
      </c>
      <c r="C65" s="42" t="s">
        <v>101</v>
      </c>
      <c r="D65" s="42" t="s">
        <v>27</v>
      </c>
      <c r="E65" s="69">
        <v>41760</v>
      </c>
      <c r="F65" s="47">
        <v>1130.3699999999999</v>
      </c>
      <c r="G65" s="13">
        <f>Table2[[#This Row],[RNA 
concentration
(ng/uL)]]*130/1000</f>
        <v>146.94809999999998</v>
      </c>
      <c r="H65" s="12">
        <v>41761</v>
      </c>
      <c r="I65" s="11">
        <v>1609.83</v>
      </c>
      <c r="J65" s="12"/>
      <c r="K65" s="13">
        <f t="shared" si="7"/>
        <v>0.62118360323760902</v>
      </c>
      <c r="L65" s="13">
        <f t="shared" si="8"/>
        <v>5.3788163967623905</v>
      </c>
      <c r="M65" s="11">
        <v>4</v>
      </c>
      <c r="N65" s="11">
        <v>2</v>
      </c>
      <c r="O65" s="11">
        <v>4</v>
      </c>
      <c r="P65" s="47">
        <v>20.3</v>
      </c>
      <c r="Q65" s="70"/>
      <c r="R65" s="47">
        <f>5-Table2[[#This Row],[vol for 100ng small RNA]]</f>
        <v>5</v>
      </c>
    </row>
    <row r="66" spans="1:24">
      <c r="A66" s="11" t="s">
        <v>105</v>
      </c>
      <c r="B66" s="42" t="s">
        <v>15</v>
      </c>
      <c r="C66" s="42" t="s">
        <v>101</v>
      </c>
      <c r="D66" s="42" t="s">
        <v>27</v>
      </c>
      <c r="E66" s="69">
        <v>41760</v>
      </c>
      <c r="F66" s="47">
        <v>1130.9100000000001</v>
      </c>
      <c r="G66" s="13">
        <f>Table2[[#This Row],[RNA 
concentration
(ng/uL)]]*130/1000</f>
        <v>147.01830000000001</v>
      </c>
      <c r="H66" s="12">
        <v>41761</v>
      </c>
      <c r="I66" s="11">
        <v>1943.91</v>
      </c>
      <c r="J66" s="12"/>
      <c r="K66" s="13">
        <f t="shared" si="7"/>
        <v>0.51442710825089633</v>
      </c>
      <c r="L66" s="13">
        <f t="shared" si="8"/>
        <v>5.4855728917491033</v>
      </c>
      <c r="M66" s="11">
        <v>4</v>
      </c>
      <c r="N66" s="11">
        <v>2</v>
      </c>
      <c r="O66" s="11">
        <v>7</v>
      </c>
      <c r="P66" s="47">
        <v>7.9</v>
      </c>
      <c r="Q66" s="70"/>
      <c r="R66" s="47">
        <f>5-Table2[[#This Row],[vol for 100ng small RNA]]</f>
        <v>5</v>
      </c>
      <c r="X66" t="s">
        <v>118</v>
      </c>
    </row>
    <row r="67" spans="1:24">
      <c r="A67" s="11" t="s">
        <v>106</v>
      </c>
      <c r="B67" s="42" t="s">
        <v>15</v>
      </c>
      <c r="C67" s="42" t="s">
        <v>101</v>
      </c>
      <c r="D67" s="42" t="s">
        <v>27</v>
      </c>
      <c r="E67" s="69">
        <v>41760</v>
      </c>
      <c r="F67" s="47">
        <v>1353.72</v>
      </c>
      <c r="G67" s="13">
        <f>Table2[[#This Row],[RNA 
concentration
(ng/uL)]]*130/1000</f>
        <v>175.9836</v>
      </c>
      <c r="H67" s="12">
        <v>41761</v>
      </c>
      <c r="I67" s="11">
        <v>2059.87</v>
      </c>
      <c r="J67" s="12"/>
      <c r="K67" s="13">
        <f t="shared" si="7"/>
        <v>0.48546752950428912</v>
      </c>
      <c r="L67" s="13">
        <f t="shared" si="8"/>
        <v>5.5145324704957108</v>
      </c>
      <c r="M67" s="11">
        <v>4</v>
      </c>
      <c r="N67" s="11">
        <v>1</v>
      </c>
      <c r="O67" s="11">
        <v>15</v>
      </c>
      <c r="P67" s="47">
        <v>7.1</v>
      </c>
      <c r="Q67" s="70"/>
      <c r="R67" s="47">
        <f>5-Table2[[#This Row],[vol for 100ng small RNA]]</f>
        <v>5</v>
      </c>
    </row>
    <row r="68" spans="1:24">
      <c r="A68" s="11" t="s">
        <v>107</v>
      </c>
      <c r="B68" s="42" t="s">
        <v>15</v>
      </c>
      <c r="C68" s="42" t="s">
        <v>101</v>
      </c>
      <c r="D68" s="42" t="s">
        <v>27</v>
      </c>
      <c r="E68" s="69">
        <v>41760</v>
      </c>
      <c r="F68" s="47">
        <v>1156.3800000000001</v>
      </c>
      <c r="G68" s="13">
        <f>Table2[[#This Row],[RNA 
concentration
(ng/uL)]]*130/1000</f>
        <v>150.32940000000002</v>
      </c>
      <c r="H68" s="12">
        <v>41761</v>
      </c>
      <c r="I68" s="11">
        <v>1684.23</v>
      </c>
      <c r="J68" s="12"/>
      <c r="K68" s="13">
        <f t="shared" si="7"/>
        <v>0.5937431348450033</v>
      </c>
      <c r="L68" s="13">
        <f t="shared" si="8"/>
        <v>5.4062568651549965</v>
      </c>
      <c r="M68" s="11">
        <v>4</v>
      </c>
      <c r="N68" s="11">
        <v>2</v>
      </c>
      <c r="O68" s="11">
        <v>12</v>
      </c>
      <c r="P68" s="47">
        <v>43.9</v>
      </c>
      <c r="Q68" s="70"/>
      <c r="R68" s="47">
        <f>5-Table2[[#This Row],[vol for 100ng small RNA]]</f>
        <v>5</v>
      </c>
    </row>
    <row r="69" spans="1:24">
      <c r="A69" s="11" t="s">
        <v>108</v>
      </c>
      <c r="B69" s="42" t="s">
        <v>15</v>
      </c>
      <c r="C69" s="42" t="s">
        <v>101</v>
      </c>
      <c r="D69" s="42" t="s">
        <v>27</v>
      </c>
      <c r="E69" s="69">
        <v>41760</v>
      </c>
      <c r="F69" s="47">
        <v>1074.1400000000001</v>
      </c>
      <c r="G69" s="13">
        <f>Table2[[#This Row],[RNA 
concentration
(ng/uL)]]*130/1000</f>
        <v>139.63820000000001</v>
      </c>
      <c r="H69" s="12">
        <v>41761</v>
      </c>
      <c r="I69" s="11">
        <v>1027.18</v>
      </c>
      <c r="J69" s="12"/>
      <c r="K69" s="13">
        <f t="shared" si="7"/>
        <v>0.97353920442376207</v>
      </c>
      <c r="L69" s="13">
        <f t="shared" si="8"/>
        <v>5.0264607955762379</v>
      </c>
      <c r="M69" s="11">
        <v>4</v>
      </c>
      <c r="N69" s="11">
        <v>1</v>
      </c>
      <c r="O69" s="11">
        <v>16</v>
      </c>
      <c r="P69" s="47">
        <v>24</v>
      </c>
      <c r="Q69" s="70"/>
      <c r="R69" s="47">
        <f>5-Table2[[#This Row],[vol for 100ng small RNA]]</f>
        <v>5</v>
      </c>
    </row>
    <row r="70" spans="1:24">
      <c r="A70" s="11" t="s">
        <v>97</v>
      </c>
      <c r="B70" s="42" t="s">
        <v>15</v>
      </c>
      <c r="C70" s="42" t="s">
        <v>101</v>
      </c>
      <c r="D70" s="42" t="s">
        <v>27</v>
      </c>
      <c r="E70" s="69">
        <v>41761</v>
      </c>
      <c r="F70" s="47">
        <v>196.89</v>
      </c>
      <c r="G70" s="13">
        <f>F70*25/1000</f>
        <v>4.92225</v>
      </c>
      <c r="H70" s="12"/>
      <c r="I70" s="11"/>
      <c r="J70" s="12"/>
      <c r="K70" s="13" t="e">
        <f t="shared" ref="K70" si="9">1000/I70</f>
        <v>#DIV/0!</v>
      </c>
      <c r="L70" s="13" t="e">
        <f t="shared" ref="L70" si="10">6-K70</f>
        <v>#DIV/0!</v>
      </c>
      <c r="M70" s="11"/>
      <c r="N70" s="11"/>
      <c r="O70" s="11">
        <v>10</v>
      </c>
      <c r="P70" s="47"/>
      <c r="Q70" s="28">
        <f>100/F70</f>
        <v>0.50789781096043485</v>
      </c>
      <c r="R70" s="13">
        <f>5-Q70</f>
        <v>4.4921021890395654</v>
      </c>
    </row>
    <row r="71" spans="1:24">
      <c r="A71" s="64" t="s">
        <v>109</v>
      </c>
      <c r="B71" s="65" t="s">
        <v>15</v>
      </c>
      <c r="C71" s="65" t="s">
        <v>101</v>
      </c>
      <c r="D71" s="65" t="s">
        <v>27</v>
      </c>
      <c r="E71" s="74">
        <v>41761</v>
      </c>
      <c r="F71" s="68">
        <v>191.67</v>
      </c>
      <c r="G71" s="67">
        <f t="shared" ref="G71:G77" si="11">F71*25/1000</f>
        <v>4.7917500000000004</v>
      </c>
      <c r="H71" s="66"/>
      <c r="I71" s="64"/>
      <c r="J71" s="66"/>
      <c r="K71" s="67" t="e">
        <f t="shared" ref="K71:K77" si="12">1000/I71</f>
        <v>#DIV/0!</v>
      </c>
      <c r="L71" s="67" t="e">
        <f t="shared" ref="L71:L77" si="13">6-K71</f>
        <v>#DIV/0!</v>
      </c>
      <c r="M71" s="64"/>
      <c r="N71" s="64"/>
      <c r="O71" s="64">
        <v>7</v>
      </c>
      <c r="P71" s="68"/>
      <c r="Q71" s="76">
        <f>100/F71</f>
        <v>0.52173005686857621</v>
      </c>
      <c r="R71" s="67">
        <f t="shared" ref="R71:R77" si="14">5-Q71</f>
        <v>4.4782699431314237</v>
      </c>
    </row>
    <row r="72" spans="1:24">
      <c r="A72" s="11" t="s">
        <v>110</v>
      </c>
      <c r="B72" s="42" t="s">
        <v>15</v>
      </c>
      <c r="C72" s="42" t="s">
        <v>101</v>
      </c>
      <c r="D72" s="42" t="s">
        <v>27</v>
      </c>
      <c r="E72" s="69">
        <v>41761</v>
      </c>
      <c r="F72" s="47">
        <v>241.97</v>
      </c>
      <c r="G72" s="13">
        <f t="shared" si="11"/>
        <v>6.0492499999999998</v>
      </c>
      <c r="H72" s="12"/>
      <c r="I72" s="11"/>
      <c r="J72" s="12"/>
      <c r="K72" s="13" t="e">
        <f t="shared" si="12"/>
        <v>#DIV/0!</v>
      </c>
      <c r="L72" s="13" t="e">
        <f t="shared" si="13"/>
        <v>#DIV/0!</v>
      </c>
      <c r="M72" s="11"/>
      <c r="N72" s="11"/>
      <c r="O72" s="11">
        <v>11</v>
      </c>
      <c r="P72" s="47"/>
      <c r="Q72" s="28">
        <f t="shared" ref="Q72:Q77" si="15">100/F72</f>
        <v>0.41327437285613922</v>
      </c>
      <c r="R72" s="13">
        <f t="shared" si="14"/>
        <v>4.5867256271438608</v>
      </c>
    </row>
    <row r="73" spans="1:24">
      <c r="A73" s="64" t="s">
        <v>111</v>
      </c>
      <c r="B73" s="65" t="s">
        <v>15</v>
      </c>
      <c r="C73" s="65" t="s">
        <v>101</v>
      </c>
      <c r="D73" s="65" t="s">
        <v>27</v>
      </c>
      <c r="E73" s="74">
        <v>41761</v>
      </c>
      <c r="F73" s="68">
        <v>230.98</v>
      </c>
      <c r="G73" s="67">
        <f t="shared" si="11"/>
        <v>5.7744999999999997</v>
      </c>
      <c r="H73" s="66"/>
      <c r="I73" s="64"/>
      <c r="J73" s="66"/>
      <c r="K73" s="67" t="e">
        <f t="shared" si="12"/>
        <v>#DIV/0!</v>
      </c>
      <c r="L73" s="67" t="e">
        <f t="shared" si="13"/>
        <v>#DIV/0!</v>
      </c>
      <c r="M73" s="64"/>
      <c r="N73" s="64"/>
      <c r="O73" s="64">
        <v>8</v>
      </c>
      <c r="P73" s="68"/>
      <c r="Q73" s="76">
        <f t="shared" si="15"/>
        <v>0.43293791670274484</v>
      </c>
      <c r="R73" s="67">
        <f t="shared" si="14"/>
        <v>4.5670620832972553</v>
      </c>
    </row>
    <row r="74" spans="1:24">
      <c r="A74" s="11" t="s">
        <v>112</v>
      </c>
      <c r="B74" s="42" t="s">
        <v>15</v>
      </c>
      <c r="C74" s="42" t="s">
        <v>101</v>
      </c>
      <c r="D74" s="42" t="s">
        <v>27</v>
      </c>
      <c r="E74" s="69">
        <v>41761</v>
      </c>
      <c r="F74" s="47">
        <v>257.24</v>
      </c>
      <c r="G74" s="13">
        <f t="shared" si="11"/>
        <v>6.431</v>
      </c>
      <c r="H74" s="12"/>
      <c r="I74" s="11"/>
      <c r="J74" s="12"/>
      <c r="K74" s="13" t="e">
        <f t="shared" si="12"/>
        <v>#DIV/0!</v>
      </c>
      <c r="L74" s="13" t="e">
        <f t="shared" si="13"/>
        <v>#DIV/0!</v>
      </c>
      <c r="M74" s="11"/>
      <c r="N74" s="11"/>
      <c r="O74" s="11">
        <v>6</v>
      </c>
      <c r="P74" s="47"/>
      <c r="Q74" s="28">
        <f t="shared" si="15"/>
        <v>0.38874203078836883</v>
      </c>
      <c r="R74" s="13">
        <f t="shared" si="14"/>
        <v>4.6112579692116311</v>
      </c>
    </row>
    <row r="75" spans="1:24">
      <c r="A75" s="64" t="s">
        <v>113</v>
      </c>
      <c r="B75" s="65" t="s">
        <v>15</v>
      </c>
      <c r="C75" s="65" t="s">
        <v>101</v>
      </c>
      <c r="D75" s="65" t="s">
        <v>27</v>
      </c>
      <c r="E75" s="74">
        <v>41761</v>
      </c>
      <c r="F75" s="68">
        <v>229.54</v>
      </c>
      <c r="G75" s="67">
        <f t="shared" si="11"/>
        <v>5.7385000000000002</v>
      </c>
      <c r="H75" s="66"/>
      <c r="I75" s="64"/>
      <c r="J75" s="66"/>
      <c r="K75" s="67" t="e">
        <f t="shared" si="12"/>
        <v>#DIV/0!</v>
      </c>
      <c r="L75" s="67" t="e">
        <f t="shared" si="13"/>
        <v>#DIV/0!</v>
      </c>
      <c r="M75" s="64"/>
      <c r="N75" s="64"/>
      <c r="O75" s="64">
        <v>5</v>
      </c>
      <c r="P75" s="68"/>
      <c r="Q75" s="76">
        <f t="shared" si="15"/>
        <v>0.43565391652870961</v>
      </c>
      <c r="R75" s="67">
        <f t="shared" si="14"/>
        <v>4.5643460834712908</v>
      </c>
    </row>
    <row r="76" spans="1:24">
      <c r="A76" s="11" t="s">
        <v>114</v>
      </c>
      <c r="B76" s="42" t="s">
        <v>15</v>
      </c>
      <c r="C76" s="42" t="s">
        <v>101</v>
      </c>
      <c r="D76" s="42" t="s">
        <v>27</v>
      </c>
      <c r="E76" s="69">
        <v>41761</v>
      </c>
      <c r="F76" s="47">
        <v>269.8</v>
      </c>
      <c r="G76" s="13">
        <f t="shared" si="11"/>
        <v>6.7450000000000001</v>
      </c>
      <c r="H76" s="12"/>
      <c r="I76" s="11"/>
      <c r="J76" s="12"/>
      <c r="K76" s="13" t="e">
        <f t="shared" si="12"/>
        <v>#DIV/0!</v>
      </c>
      <c r="L76" s="13" t="e">
        <f t="shared" si="13"/>
        <v>#DIV/0!</v>
      </c>
      <c r="M76" s="11"/>
      <c r="N76" s="11"/>
      <c r="O76" s="11">
        <v>9</v>
      </c>
      <c r="P76" s="47"/>
      <c r="Q76" s="28">
        <f t="shared" si="15"/>
        <v>0.37064492216456635</v>
      </c>
      <c r="R76" s="13">
        <f t="shared" si="14"/>
        <v>4.6293550778354335</v>
      </c>
    </row>
    <row r="77" spans="1:24">
      <c r="A77" s="64" t="s">
        <v>115</v>
      </c>
      <c r="B77" s="65" t="s">
        <v>15</v>
      </c>
      <c r="C77" s="65" t="s">
        <v>101</v>
      </c>
      <c r="D77" s="65" t="s">
        <v>27</v>
      </c>
      <c r="E77" s="74">
        <v>41761</v>
      </c>
      <c r="F77" s="68">
        <v>225.31</v>
      </c>
      <c r="G77" s="67">
        <f t="shared" si="11"/>
        <v>5.6327499999999997</v>
      </c>
      <c r="H77" s="66"/>
      <c r="I77" s="64"/>
      <c r="J77" s="66"/>
      <c r="K77" s="67" t="e">
        <f t="shared" si="12"/>
        <v>#DIV/0!</v>
      </c>
      <c r="L77" s="67" t="e">
        <f t="shared" si="13"/>
        <v>#DIV/0!</v>
      </c>
      <c r="M77" s="64"/>
      <c r="N77" s="64"/>
      <c r="O77" s="64">
        <v>12</v>
      </c>
      <c r="P77" s="68"/>
      <c r="Q77" s="76">
        <f t="shared" si="15"/>
        <v>0.44383294128090184</v>
      </c>
      <c r="R77" s="67">
        <f t="shared" si="14"/>
        <v>4.5561670587190983</v>
      </c>
    </row>
    <row r="78" spans="1:24">
      <c r="A78" s="82"/>
      <c r="B78" s="83"/>
      <c r="C78" s="83"/>
      <c r="D78" s="83"/>
      <c r="E78" s="84"/>
      <c r="F78" s="87"/>
      <c r="G78" s="85"/>
      <c r="H78" s="86"/>
      <c r="I78" s="82"/>
      <c r="J78" s="86"/>
      <c r="K78" s="85"/>
      <c r="L78" s="85"/>
      <c r="M78" s="82"/>
      <c r="N78" s="82"/>
      <c r="O78" s="82"/>
      <c r="P78" s="87"/>
      <c r="Q78" s="88"/>
      <c r="R78" s="85"/>
    </row>
    <row r="79" spans="1:24">
      <c r="A79" s="64" t="s">
        <v>126</v>
      </c>
      <c r="B79" s="65" t="s">
        <v>15</v>
      </c>
      <c r="C79" s="65" t="s">
        <v>100</v>
      </c>
      <c r="D79" s="65" t="s">
        <v>27</v>
      </c>
      <c r="E79" s="74">
        <v>41834</v>
      </c>
      <c r="F79" s="68">
        <v>925.65</v>
      </c>
      <c r="G79" s="67">
        <f>F79*150/1000</f>
        <v>138.8475</v>
      </c>
      <c r="H79" s="66">
        <v>41843</v>
      </c>
      <c r="I79" s="64">
        <v>2091.39</v>
      </c>
      <c r="J79" s="66"/>
      <c r="K79" s="67">
        <f>1000/I79</f>
        <v>0.47815089485939977</v>
      </c>
      <c r="L79" s="67">
        <f>6-K79</f>
        <v>5.5218491051405998</v>
      </c>
      <c r="M79" s="64">
        <v>4</v>
      </c>
      <c r="N79" s="64">
        <v>1</v>
      </c>
      <c r="O79" s="64">
        <v>2</v>
      </c>
      <c r="P79" s="68"/>
      <c r="Q79" s="76"/>
      <c r="R79" s="67"/>
    </row>
    <row r="80" spans="1:24">
      <c r="A80" s="11" t="s">
        <v>127</v>
      </c>
      <c r="B80" s="42" t="s">
        <v>15</v>
      </c>
      <c r="C80" s="42" t="s">
        <v>100</v>
      </c>
      <c r="D80" s="42" t="s">
        <v>27</v>
      </c>
      <c r="E80" s="69">
        <v>41834</v>
      </c>
      <c r="F80" s="47">
        <v>845.42</v>
      </c>
      <c r="G80" s="13">
        <f>F80*150/1000</f>
        <v>126.813</v>
      </c>
      <c r="H80" s="91">
        <v>41843</v>
      </c>
      <c r="I80" s="11">
        <v>2446.0700000000002</v>
      </c>
      <c r="J80" s="12"/>
      <c r="K80" s="93">
        <f t="shared" ref="K80:K93" si="16">1000/I80</f>
        <v>0.40881904442636552</v>
      </c>
      <c r="L80" s="13">
        <f>6-K80</f>
        <v>5.591180955573634</v>
      </c>
      <c r="M80" s="11">
        <v>4</v>
      </c>
      <c r="N80" s="11">
        <v>1</v>
      </c>
      <c r="O80" s="11">
        <v>6</v>
      </c>
      <c r="P80" s="47"/>
      <c r="Q80" s="28"/>
      <c r="R80" s="13">
        <f t="shared" ref="R80:R83" si="17">5-Q80</f>
        <v>5</v>
      </c>
    </row>
    <row r="81" spans="1:18">
      <c r="A81" s="64" t="s">
        <v>128</v>
      </c>
      <c r="B81" s="65" t="s">
        <v>15</v>
      </c>
      <c r="C81" s="65" t="s">
        <v>100</v>
      </c>
      <c r="D81" s="65" t="s">
        <v>27</v>
      </c>
      <c r="E81" s="74">
        <v>41834</v>
      </c>
      <c r="F81" s="68">
        <v>1277.3499999999999</v>
      </c>
      <c r="G81" s="67">
        <f>F81*150/1000</f>
        <v>191.60249999999999</v>
      </c>
      <c r="H81" s="66">
        <v>41843</v>
      </c>
      <c r="I81" s="64">
        <v>2627.6</v>
      </c>
      <c r="J81" s="66"/>
      <c r="K81" s="67">
        <f t="shared" si="16"/>
        <v>0.38057543005023597</v>
      </c>
      <c r="L81" s="67">
        <f t="shared" ref="L81:L83" si="18">6-K81</f>
        <v>5.6194245699497642</v>
      </c>
      <c r="M81" s="64">
        <v>4</v>
      </c>
      <c r="N81" s="64">
        <v>1</v>
      </c>
      <c r="O81" s="64">
        <v>5</v>
      </c>
      <c r="P81" s="68"/>
      <c r="Q81" s="76"/>
      <c r="R81" s="67">
        <f t="shared" si="17"/>
        <v>5</v>
      </c>
    </row>
    <row r="82" spans="1:18">
      <c r="A82" s="11" t="s">
        <v>129</v>
      </c>
      <c r="B82" s="42" t="s">
        <v>15</v>
      </c>
      <c r="C82" s="42" t="s">
        <v>100</v>
      </c>
      <c r="D82" s="42" t="s">
        <v>27</v>
      </c>
      <c r="E82" s="69">
        <v>41834</v>
      </c>
      <c r="F82" s="47">
        <v>1249.7</v>
      </c>
      <c r="G82" s="13">
        <f>F82*150/1000</f>
        <v>187.45500000000001</v>
      </c>
      <c r="H82" s="91">
        <v>41843</v>
      </c>
      <c r="I82" s="11">
        <v>2485.98</v>
      </c>
      <c r="J82" s="12"/>
      <c r="K82" s="93">
        <f t="shared" si="16"/>
        <v>0.40225585081135007</v>
      </c>
      <c r="L82" s="13">
        <f t="shared" si="18"/>
        <v>5.5977441491886495</v>
      </c>
      <c r="M82" s="11">
        <v>4</v>
      </c>
      <c r="N82" s="11">
        <v>2</v>
      </c>
      <c r="O82" s="11">
        <v>4</v>
      </c>
      <c r="P82" s="47"/>
      <c r="Q82" s="28"/>
      <c r="R82" s="13">
        <f t="shared" si="17"/>
        <v>5</v>
      </c>
    </row>
    <row r="83" spans="1:18">
      <c r="A83" s="64" t="s">
        <v>130</v>
      </c>
      <c r="B83" s="65" t="s">
        <v>15</v>
      </c>
      <c r="C83" s="65" t="s">
        <v>100</v>
      </c>
      <c r="D83" s="65" t="s">
        <v>27</v>
      </c>
      <c r="E83" s="74">
        <v>41834</v>
      </c>
      <c r="F83" s="68">
        <v>975.57</v>
      </c>
      <c r="G83" s="67">
        <f t="shared" ref="G83" si="19">F83*25/1000</f>
        <v>24.389250000000001</v>
      </c>
      <c r="H83" s="66">
        <v>41843</v>
      </c>
      <c r="I83" s="64">
        <v>2318.42</v>
      </c>
      <c r="J83" s="66"/>
      <c r="K83" s="67">
        <f t="shared" si="16"/>
        <v>0.43132823215810767</v>
      </c>
      <c r="L83" s="67">
        <f t="shared" si="18"/>
        <v>5.5686717678418924</v>
      </c>
      <c r="M83" s="64">
        <v>4</v>
      </c>
      <c r="N83" s="64">
        <v>2</v>
      </c>
      <c r="O83" s="64">
        <v>13</v>
      </c>
      <c r="P83" s="68"/>
      <c r="Q83" s="76"/>
      <c r="R83" s="67">
        <f t="shared" si="17"/>
        <v>5</v>
      </c>
    </row>
    <row r="84" spans="1:18">
      <c r="A84" s="11" t="s">
        <v>131</v>
      </c>
      <c r="B84" s="42" t="s">
        <v>15</v>
      </c>
      <c r="C84" s="42" t="s">
        <v>100</v>
      </c>
      <c r="D84" s="42" t="s">
        <v>27</v>
      </c>
      <c r="E84" s="69">
        <v>41834</v>
      </c>
      <c r="F84" s="47">
        <v>1134.53</v>
      </c>
      <c r="G84" s="13">
        <f t="shared" ref="G84:G92" si="20">F84*150/1000</f>
        <v>170.17949999999999</v>
      </c>
      <c r="H84" s="91">
        <v>41843</v>
      </c>
      <c r="I84" s="11">
        <v>2516.7800000000002</v>
      </c>
      <c r="J84" s="12"/>
      <c r="K84" s="93">
        <f t="shared" si="16"/>
        <v>0.39733310023124785</v>
      </c>
      <c r="L84" s="13">
        <f t="shared" ref="L84:L88" si="21">6-K84</f>
        <v>5.6026668997687521</v>
      </c>
      <c r="M84" s="11">
        <v>4</v>
      </c>
      <c r="N84" s="11">
        <v>1</v>
      </c>
      <c r="O84" s="11">
        <v>14</v>
      </c>
      <c r="P84" s="47"/>
      <c r="Q84" s="28"/>
      <c r="R84" s="13">
        <f t="shared" ref="R84:R88" si="22">5-Q84</f>
        <v>5</v>
      </c>
    </row>
    <row r="85" spans="1:18">
      <c r="A85" s="64" t="s">
        <v>132</v>
      </c>
      <c r="B85" s="65" t="s">
        <v>15</v>
      </c>
      <c r="C85" s="65" t="s">
        <v>100</v>
      </c>
      <c r="D85" s="65" t="s">
        <v>27</v>
      </c>
      <c r="E85" s="74">
        <v>41834</v>
      </c>
      <c r="F85" s="68">
        <v>1046.8</v>
      </c>
      <c r="G85" s="67">
        <f t="shared" si="20"/>
        <v>157.02000000000001</v>
      </c>
      <c r="H85" s="66">
        <v>41843</v>
      </c>
      <c r="I85" s="64">
        <v>2507.56</v>
      </c>
      <c r="J85" s="66"/>
      <c r="K85" s="67">
        <f t="shared" si="16"/>
        <v>0.39879404680246933</v>
      </c>
      <c r="L85" s="67">
        <f t="shared" si="21"/>
        <v>5.6012059531975309</v>
      </c>
      <c r="M85" s="64">
        <v>4</v>
      </c>
      <c r="N85" s="64">
        <v>2</v>
      </c>
      <c r="O85" s="64">
        <v>13</v>
      </c>
      <c r="P85" s="68"/>
      <c r="Q85" s="76"/>
      <c r="R85" s="67">
        <f t="shared" si="22"/>
        <v>5</v>
      </c>
    </row>
    <row r="86" spans="1:18">
      <c r="A86" s="11" t="s">
        <v>133</v>
      </c>
      <c r="B86" s="42" t="s">
        <v>15</v>
      </c>
      <c r="C86" s="42" t="s">
        <v>100</v>
      </c>
      <c r="D86" s="42" t="s">
        <v>27</v>
      </c>
      <c r="E86" s="69">
        <v>41834</v>
      </c>
      <c r="F86" s="47">
        <v>993.76</v>
      </c>
      <c r="G86" s="13">
        <f t="shared" si="20"/>
        <v>149.06399999999999</v>
      </c>
      <c r="H86" s="91">
        <v>41843</v>
      </c>
      <c r="I86" s="11">
        <v>2585.4699999999998</v>
      </c>
      <c r="J86" s="12"/>
      <c r="K86" s="93">
        <f t="shared" si="16"/>
        <v>0.38677687229014457</v>
      </c>
      <c r="L86" s="13">
        <f t="shared" si="21"/>
        <v>5.6132231277098557</v>
      </c>
      <c r="M86" s="11">
        <v>4</v>
      </c>
      <c r="N86" s="11">
        <v>2</v>
      </c>
      <c r="O86" s="11">
        <v>14</v>
      </c>
      <c r="P86" s="47"/>
      <c r="Q86" s="28"/>
      <c r="R86" s="13">
        <f t="shared" si="22"/>
        <v>5</v>
      </c>
    </row>
    <row r="87" spans="1:18" s="90" customFormat="1">
      <c r="A87" s="64" t="s">
        <v>134</v>
      </c>
      <c r="B87" s="65" t="s">
        <v>15</v>
      </c>
      <c r="C87" s="65" t="s">
        <v>100</v>
      </c>
      <c r="D87" s="65" t="s">
        <v>27</v>
      </c>
      <c r="E87" s="74">
        <v>41834</v>
      </c>
      <c r="F87" s="68">
        <v>939.18</v>
      </c>
      <c r="G87" s="67">
        <f t="shared" si="20"/>
        <v>140.87700000000001</v>
      </c>
      <c r="H87" s="66">
        <v>41843</v>
      </c>
      <c r="I87" s="64">
        <v>2545.16</v>
      </c>
      <c r="J87" s="66"/>
      <c r="K87" s="67">
        <f t="shared" si="16"/>
        <v>0.39290260730170207</v>
      </c>
      <c r="L87" s="67">
        <f t="shared" si="21"/>
        <v>5.6070973926982983</v>
      </c>
      <c r="M87" s="64">
        <v>4</v>
      </c>
      <c r="N87" s="64">
        <v>2</v>
      </c>
      <c r="O87" s="64">
        <v>12</v>
      </c>
      <c r="P87" s="68"/>
      <c r="Q87" s="76"/>
      <c r="R87" s="67">
        <f t="shared" si="22"/>
        <v>5</v>
      </c>
    </row>
    <row r="88" spans="1:18">
      <c r="A88" s="11" t="s">
        <v>135</v>
      </c>
      <c r="B88" s="42" t="s">
        <v>15</v>
      </c>
      <c r="C88" s="42" t="s">
        <v>100</v>
      </c>
      <c r="D88" s="42" t="s">
        <v>27</v>
      </c>
      <c r="E88" s="69">
        <v>41834</v>
      </c>
      <c r="F88" s="47">
        <v>1027.8900000000001</v>
      </c>
      <c r="G88" s="13">
        <f t="shared" si="20"/>
        <v>154.18350000000004</v>
      </c>
      <c r="H88" s="91">
        <v>41843</v>
      </c>
      <c r="I88" s="11">
        <v>2297.7199999999998</v>
      </c>
      <c r="J88" s="89"/>
      <c r="K88" s="93">
        <f t="shared" si="16"/>
        <v>0.43521403826401828</v>
      </c>
      <c r="L88" s="13">
        <f t="shared" si="21"/>
        <v>5.5647859617359821</v>
      </c>
      <c r="M88" s="11">
        <v>4</v>
      </c>
      <c r="N88" s="11">
        <v>2</v>
      </c>
      <c r="O88" s="11">
        <v>19</v>
      </c>
      <c r="P88" s="47"/>
      <c r="Q88" s="28"/>
      <c r="R88" s="13">
        <f t="shared" si="22"/>
        <v>5</v>
      </c>
    </row>
    <row r="89" spans="1:18" s="90" customFormat="1">
      <c r="A89" s="64" t="s">
        <v>136</v>
      </c>
      <c r="B89" s="65" t="s">
        <v>15</v>
      </c>
      <c r="C89" s="65" t="s">
        <v>100</v>
      </c>
      <c r="D89" s="65" t="s">
        <v>27</v>
      </c>
      <c r="E89" s="74">
        <v>41834</v>
      </c>
      <c r="F89" s="68">
        <v>826.47</v>
      </c>
      <c r="G89" s="67">
        <f t="shared" si="20"/>
        <v>123.9705</v>
      </c>
      <c r="H89" s="66">
        <v>41843</v>
      </c>
      <c r="I89" s="64">
        <v>2040.62</v>
      </c>
      <c r="J89" s="66"/>
      <c r="K89" s="67">
        <f t="shared" si="16"/>
        <v>0.49004714253511189</v>
      </c>
      <c r="L89" s="67">
        <f t="shared" ref="L89:L93" si="23">6-K89</f>
        <v>5.5099528574648877</v>
      </c>
      <c r="M89" s="64">
        <v>4</v>
      </c>
      <c r="N89" s="64">
        <v>1</v>
      </c>
      <c r="O89" s="64">
        <v>18</v>
      </c>
      <c r="P89" s="68"/>
      <c r="Q89" s="76"/>
      <c r="R89" s="67">
        <f t="shared" ref="R89:R91" si="24">5-Q89</f>
        <v>5</v>
      </c>
    </row>
    <row r="90" spans="1:18">
      <c r="A90" s="11" t="s">
        <v>137</v>
      </c>
      <c r="B90" s="42" t="s">
        <v>15</v>
      </c>
      <c r="C90" s="42" t="s">
        <v>100</v>
      </c>
      <c r="D90" s="42" t="s">
        <v>27</v>
      </c>
      <c r="E90" s="69">
        <v>41834</v>
      </c>
      <c r="F90" s="47">
        <v>366.52</v>
      </c>
      <c r="G90" s="13">
        <f t="shared" si="20"/>
        <v>54.978000000000002</v>
      </c>
      <c r="H90" s="91">
        <v>41843</v>
      </c>
      <c r="I90" s="11">
        <v>1288.04</v>
      </c>
      <c r="J90" s="12"/>
      <c r="K90" s="93">
        <f t="shared" si="16"/>
        <v>0.77637340455265369</v>
      </c>
      <c r="L90" s="13">
        <f t="shared" si="23"/>
        <v>5.223626595447346</v>
      </c>
      <c r="M90" s="11">
        <v>4</v>
      </c>
      <c r="N90" s="11">
        <v>1</v>
      </c>
      <c r="O90" s="11">
        <v>18</v>
      </c>
      <c r="P90" s="47"/>
      <c r="Q90" s="28"/>
      <c r="R90" s="13">
        <f t="shared" si="24"/>
        <v>5</v>
      </c>
    </row>
    <row r="91" spans="1:18" s="90" customFormat="1">
      <c r="A91" s="64" t="s">
        <v>138</v>
      </c>
      <c r="B91" s="65" t="s">
        <v>15</v>
      </c>
      <c r="C91" s="65" t="s">
        <v>100</v>
      </c>
      <c r="D91" s="65" t="s">
        <v>27</v>
      </c>
      <c r="E91" s="74">
        <v>41834</v>
      </c>
      <c r="F91" s="68">
        <v>736.52</v>
      </c>
      <c r="G91" s="67">
        <f t="shared" si="20"/>
        <v>110.47799999999999</v>
      </c>
      <c r="H91" s="66">
        <v>41843</v>
      </c>
      <c r="I91" s="64">
        <v>1993.41</v>
      </c>
      <c r="J91" s="66"/>
      <c r="K91" s="67">
        <f t="shared" si="16"/>
        <v>0.50165294645858105</v>
      </c>
      <c r="L91" s="67">
        <f t="shared" si="23"/>
        <v>5.4983470535414192</v>
      </c>
      <c r="M91" s="64">
        <v>4</v>
      </c>
      <c r="N91" s="64">
        <v>2</v>
      </c>
      <c r="O91" s="64">
        <v>7</v>
      </c>
      <c r="P91" s="68"/>
      <c r="Q91" s="76"/>
      <c r="R91" s="67">
        <f t="shared" si="24"/>
        <v>5</v>
      </c>
    </row>
    <row r="92" spans="1:18">
      <c r="A92" s="11" t="s">
        <v>139</v>
      </c>
      <c r="B92" s="42" t="s">
        <v>15</v>
      </c>
      <c r="C92" s="42" t="s">
        <v>100</v>
      </c>
      <c r="D92" s="42" t="s">
        <v>27</v>
      </c>
      <c r="E92" s="69">
        <v>41834</v>
      </c>
      <c r="F92" s="47">
        <v>967.23</v>
      </c>
      <c r="G92" s="13">
        <f t="shared" si="20"/>
        <v>145.08449999999999</v>
      </c>
      <c r="H92" s="91">
        <v>41843</v>
      </c>
      <c r="I92" s="11">
        <v>2412.8000000000002</v>
      </c>
      <c r="J92" s="12"/>
      <c r="K92" s="93">
        <f t="shared" si="16"/>
        <v>0.41445623342175064</v>
      </c>
      <c r="L92" s="13">
        <f t="shared" si="23"/>
        <v>5.5855437665782492</v>
      </c>
      <c r="M92" s="11">
        <v>4</v>
      </c>
      <c r="N92" s="11">
        <v>1</v>
      </c>
      <c r="O92" s="11">
        <v>15</v>
      </c>
      <c r="P92" s="47"/>
      <c r="Q92" s="28"/>
      <c r="R92" s="13">
        <f t="shared" ref="R92:R107" si="25">5-Q92</f>
        <v>5</v>
      </c>
    </row>
    <row r="93" spans="1:18" s="90" customFormat="1">
      <c r="A93" s="64" t="s">
        <v>140</v>
      </c>
      <c r="B93" s="65" t="s">
        <v>15</v>
      </c>
      <c r="C93" s="65" t="s">
        <v>100</v>
      </c>
      <c r="D93" s="65" t="s">
        <v>27</v>
      </c>
      <c r="E93" s="74">
        <v>41834</v>
      </c>
      <c r="F93" s="68">
        <v>215.17</v>
      </c>
      <c r="G93" s="67">
        <f>F93*150/1000</f>
        <v>32.275499999999994</v>
      </c>
      <c r="H93" s="66">
        <v>41843</v>
      </c>
      <c r="I93" s="64">
        <v>876.18</v>
      </c>
      <c r="J93" s="66"/>
      <c r="K93" s="67">
        <f t="shared" si="16"/>
        <v>1.1413179940194937</v>
      </c>
      <c r="L93" s="67">
        <f t="shared" si="23"/>
        <v>4.8586820059805067</v>
      </c>
      <c r="M93" s="64">
        <v>4</v>
      </c>
      <c r="N93" s="64">
        <v>2</v>
      </c>
      <c r="O93" s="64">
        <v>15</v>
      </c>
      <c r="P93" s="68"/>
      <c r="Q93" s="76"/>
      <c r="R93" s="67">
        <f t="shared" si="25"/>
        <v>5</v>
      </c>
    </row>
    <row r="94" spans="1:18" s="90" customFormat="1">
      <c r="A94" s="30" t="s">
        <v>81</v>
      </c>
      <c r="B94" s="106" t="s">
        <v>15</v>
      </c>
      <c r="C94" s="106" t="s">
        <v>100</v>
      </c>
      <c r="D94" s="106" t="s">
        <v>27</v>
      </c>
      <c r="E94" s="116">
        <v>41753</v>
      </c>
      <c r="F94" s="115">
        <v>983.6</v>
      </c>
      <c r="G94" s="113" t="e">
        <f>130*Table2[[#This Row],[RNA 
concentration
(ng/uL)]]/1000</f>
        <v>#VALUE!</v>
      </c>
      <c r="H94" s="114">
        <v>41754</v>
      </c>
      <c r="I94" s="30">
        <v>1715.4</v>
      </c>
      <c r="J94" s="114"/>
      <c r="K94" s="113">
        <f>1000/I94</f>
        <v>0.58295441296490613</v>
      </c>
      <c r="L94" s="113">
        <f>6-K94</f>
        <v>5.4170455870350942</v>
      </c>
      <c r="M94" s="30">
        <v>4</v>
      </c>
      <c r="N94" s="30">
        <v>1</v>
      </c>
      <c r="O94" s="30">
        <v>16</v>
      </c>
      <c r="P94" s="115">
        <v>2.92</v>
      </c>
      <c r="Q94" s="117">
        <v>2.25</v>
      </c>
      <c r="R94" s="115">
        <v>2.75</v>
      </c>
    </row>
    <row r="95" spans="1:18">
      <c r="A95" s="11" t="s">
        <v>150</v>
      </c>
      <c r="B95" s="42" t="s">
        <v>15</v>
      </c>
      <c r="C95" s="42" t="s">
        <v>100</v>
      </c>
      <c r="D95" s="42" t="s">
        <v>27</v>
      </c>
      <c r="E95" s="69">
        <v>41835</v>
      </c>
      <c r="F95" s="47">
        <v>106.29</v>
      </c>
      <c r="G95" s="13">
        <f>F95*150/1000</f>
        <v>15.943500000000002</v>
      </c>
      <c r="H95" s="91"/>
      <c r="I95" s="11"/>
      <c r="J95" s="12"/>
      <c r="K95" s="13"/>
      <c r="L95" s="13"/>
      <c r="M95" s="11"/>
      <c r="N95" s="11"/>
      <c r="O95" s="11">
        <v>1</v>
      </c>
      <c r="P95" s="47"/>
      <c r="Q95" s="28">
        <f>100/(F95/5)</f>
        <v>4.7041113933577945</v>
      </c>
      <c r="R95" s="13">
        <f t="shared" si="25"/>
        <v>0.29588860664220551</v>
      </c>
    </row>
    <row r="96" spans="1:18">
      <c r="A96" s="64" t="s">
        <v>141</v>
      </c>
      <c r="B96" s="65" t="s">
        <v>15</v>
      </c>
      <c r="C96" s="65" t="s">
        <v>100</v>
      </c>
      <c r="D96" s="65" t="s">
        <v>27</v>
      </c>
      <c r="E96" s="74">
        <v>41835</v>
      </c>
      <c r="F96" s="68">
        <v>121.13</v>
      </c>
      <c r="G96" s="67">
        <f>F96*150/1000</f>
        <v>18.169499999999999</v>
      </c>
      <c r="H96" s="66"/>
      <c r="I96" s="64"/>
      <c r="J96" s="66"/>
      <c r="K96" s="67"/>
      <c r="L96" s="67"/>
      <c r="M96" s="64"/>
      <c r="N96" s="64"/>
      <c r="O96" s="64">
        <v>2</v>
      </c>
      <c r="P96" s="68"/>
      <c r="Q96" s="76">
        <f t="shared" ref="Q96:Q108" si="26">100/(F96/5)</f>
        <v>4.1277965821844305</v>
      </c>
      <c r="R96" s="67">
        <f t="shared" si="25"/>
        <v>0.87220341781556954</v>
      </c>
    </row>
    <row r="97" spans="1:18" s="95" customFormat="1">
      <c r="A97" s="26" t="s">
        <v>142</v>
      </c>
      <c r="B97" s="44" t="s">
        <v>15</v>
      </c>
      <c r="C97" s="44" t="s">
        <v>100</v>
      </c>
      <c r="D97" s="44" t="s">
        <v>27</v>
      </c>
      <c r="E97" s="92">
        <v>41835</v>
      </c>
      <c r="F97" s="94">
        <v>257.70999999999998</v>
      </c>
      <c r="G97" s="93">
        <f>F97*150/1000</f>
        <v>38.656500000000001</v>
      </c>
      <c r="H97" s="91"/>
      <c r="I97" s="26"/>
      <c r="J97" s="91"/>
      <c r="K97" s="93"/>
      <c r="L97" s="93"/>
      <c r="M97" s="26"/>
      <c r="N97" s="26"/>
      <c r="O97" s="26">
        <v>3</v>
      </c>
      <c r="P97" s="94"/>
      <c r="Q97" s="28">
        <f t="shared" si="26"/>
        <v>1.9401653020837377</v>
      </c>
      <c r="R97" s="93">
        <f t="shared" si="25"/>
        <v>3.0598346979162621</v>
      </c>
    </row>
    <row r="98" spans="1:18" s="95" customFormat="1">
      <c r="A98" s="64" t="s">
        <v>143</v>
      </c>
      <c r="B98" s="65" t="s">
        <v>15</v>
      </c>
      <c r="C98" s="65" t="s">
        <v>100</v>
      </c>
      <c r="D98" s="65" t="s">
        <v>27</v>
      </c>
      <c r="E98" s="74">
        <v>41835</v>
      </c>
      <c r="F98" s="68">
        <v>173.32</v>
      </c>
      <c r="G98" s="67">
        <f>F98*150/1000</f>
        <v>25.998000000000001</v>
      </c>
      <c r="H98" s="66"/>
      <c r="I98" s="64"/>
      <c r="J98" s="66"/>
      <c r="K98" s="67"/>
      <c r="L98" s="67"/>
      <c r="M98" s="64"/>
      <c r="N98" s="64"/>
      <c r="O98" s="64">
        <v>4</v>
      </c>
      <c r="P98" s="68"/>
      <c r="Q98" s="76">
        <f t="shared" si="26"/>
        <v>2.8848372951765517</v>
      </c>
      <c r="R98" s="67">
        <f t="shared" si="25"/>
        <v>2.1151627048234483</v>
      </c>
    </row>
    <row r="99" spans="1:18" s="95" customFormat="1">
      <c r="A99" s="26" t="s">
        <v>144</v>
      </c>
      <c r="B99" s="44" t="s">
        <v>15</v>
      </c>
      <c r="C99" s="44" t="s">
        <v>100</v>
      </c>
      <c r="D99" s="44" t="s">
        <v>27</v>
      </c>
      <c r="E99" s="92">
        <v>41835</v>
      </c>
      <c r="F99" s="94">
        <v>360.21</v>
      </c>
      <c r="G99" s="93">
        <f t="shared" ref="G99" si="27">F99*25/1000</f>
        <v>9.0052500000000002</v>
      </c>
      <c r="H99" s="91"/>
      <c r="I99" s="26"/>
      <c r="J99" s="91"/>
      <c r="K99" s="93"/>
      <c r="L99" s="93"/>
      <c r="M99" s="26"/>
      <c r="N99" s="26"/>
      <c r="O99" s="26">
        <v>5</v>
      </c>
      <c r="P99" s="94"/>
      <c r="Q99" s="28">
        <f t="shared" si="26"/>
        <v>1.388079176036201</v>
      </c>
      <c r="R99" s="93">
        <f t="shared" si="25"/>
        <v>3.611920823963799</v>
      </c>
    </row>
    <row r="100" spans="1:18" s="95" customFormat="1">
      <c r="A100" s="64" t="s">
        <v>145</v>
      </c>
      <c r="B100" s="65" t="s">
        <v>15</v>
      </c>
      <c r="C100" s="65" t="s">
        <v>100</v>
      </c>
      <c r="D100" s="65" t="s">
        <v>27</v>
      </c>
      <c r="E100" s="74">
        <v>41835</v>
      </c>
      <c r="F100" s="68">
        <v>181.57</v>
      </c>
      <c r="G100" s="67">
        <f t="shared" ref="G100:G108" si="28">F100*150/1000</f>
        <v>27.235499999999998</v>
      </c>
      <c r="H100" s="66"/>
      <c r="I100" s="64"/>
      <c r="J100" s="66"/>
      <c r="K100" s="67"/>
      <c r="L100" s="67"/>
      <c r="M100" s="64"/>
      <c r="N100" s="64"/>
      <c r="O100" s="64">
        <v>6</v>
      </c>
      <c r="P100" s="68"/>
      <c r="Q100" s="76">
        <f t="shared" si="26"/>
        <v>2.753758880872391</v>
      </c>
      <c r="R100" s="67">
        <f t="shared" si="25"/>
        <v>2.246241119127609</v>
      </c>
    </row>
    <row r="101" spans="1:18" s="95" customFormat="1">
      <c r="A101" s="26" t="s">
        <v>146</v>
      </c>
      <c r="B101" s="44" t="s">
        <v>15</v>
      </c>
      <c r="C101" s="44" t="s">
        <v>100</v>
      </c>
      <c r="D101" s="44" t="s">
        <v>27</v>
      </c>
      <c r="E101" s="92">
        <v>41835</v>
      </c>
      <c r="F101" s="94">
        <v>346.39</v>
      </c>
      <c r="G101" s="93">
        <f t="shared" si="28"/>
        <v>51.958500000000001</v>
      </c>
      <c r="H101" s="91"/>
      <c r="I101" s="26"/>
      <c r="J101" s="91"/>
      <c r="K101" s="93"/>
      <c r="L101" s="93"/>
      <c r="M101" s="26"/>
      <c r="N101" s="26"/>
      <c r="O101" s="26">
        <v>7</v>
      </c>
      <c r="P101" s="94"/>
      <c r="Q101" s="28">
        <f t="shared" si="26"/>
        <v>1.4434596841710212</v>
      </c>
      <c r="R101" s="93">
        <f t="shared" si="25"/>
        <v>3.556540315828979</v>
      </c>
    </row>
    <row r="102" spans="1:18" s="95" customFormat="1">
      <c r="A102" s="64" t="s">
        <v>147</v>
      </c>
      <c r="B102" s="65" t="s">
        <v>15</v>
      </c>
      <c r="C102" s="65" t="s">
        <v>100</v>
      </c>
      <c r="D102" s="65" t="s">
        <v>27</v>
      </c>
      <c r="E102" s="74">
        <v>41835</v>
      </c>
      <c r="F102" s="68">
        <v>458.38</v>
      </c>
      <c r="G102" s="67">
        <f t="shared" si="28"/>
        <v>68.757000000000005</v>
      </c>
      <c r="H102" s="66"/>
      <c r="I102" s="64"/>
      <c r="J102" s="66"/>
      <c r="K102" s="67"/>
      <c r="L102" s="67"/>
      <c r="M102" s="64"/>
      <c r="N102" s="64"/>
      <c r="O102" s="64">
        <v>8</v>
      </c>
      <c r="P102" s="68"/>
      <c r="Q102" s="76">
        <f t="shared" si="26"/>
        <v>1.0907980278371656</v>
      </c>
      <c r="R102" s="67">
        <f t="shared" si="25"/>
        <v>3.9092019721628342</v>
      </c>
    </row>
    <row r="103" spans="1:18" s="95" customFormat="1">
      <c r="A103" s="26" t="s">
        <v>148</v>
      </c>
      <c r="B103" s="44" t="s">
        <v>15</v>
      </c>
      <c r="C103" s="44" t="s">
        <v>100</v>
      </c>
      <c r="D103" s="44" t="s">
        <v>27</v>
      </c>
      <c r="E103" s="92">
        <v>41835</v>
      </c>
      <c r="F103" s="94">
        <v>309.86</v>
      </c>
      <c r="G103" s="93">
        <f t="shared" si="28"/>
        <v>46.478999999999999</v>
      </c>
      <c r="H103" s="91"/>
      <c r="I103" s="26"/>
      <c r="J103" s="91"/>
      <c r="K103" s="93"/>
      <c r="L103" s="93"/>
      <c r="M103" s="26"/>
      <c r="N103" s="26"/>
      <c r="O103" s="26">
        <v>10</v>
      </c>
      <c r="P103" s="94"/>
      <c r="Q103" s="28">
        <f t="shared" si="26"/>
        <v>1.6136319628219196</v>
      </c>
      <c r="R103" s="93">
        <f t="shared" si="25"/>
        <v>3.3863680371780802</v>
      </c>
    </row>
    <row r="104" spans="1:18" s="95" customFormat="1">
      <c r="A104" s="64" t="s">
        <v>149</v>
      </c>
      <c r="B104" s="65" t="s">
        <v>15</v>
      </c>
      <c r="C104" s="65" t="s">
        <v>100</v>
      </c>
      <c r="D104" s="65" t="s">
        <v>27</v>
      </c>
      <c r="E104" s="74">
        <v>41835</v>
      </c>
      <c r="F104" s="68">
        <v>322.87</v>
      </c>
      <c r="G104" s="67">
        <f t="shared" si="28"/>
        <v>48.430500000000002</v>
      </c>
      <c r="H104" s="66"/>
      <c r="I104" s="64"/>
      <c r="J104" s="66"/>
      <c r="K104" s="67"/>
      <c r="L104" s="67"/>
      <c r="M104" s="64"/>
      <c r="N104" s="64"/>
      <c r="O104" s="64">
        <v>11</v>
      </c>
      <c r="P104" s="68"/>
      <c r="Q104" s="76">
        <f t="shared" si="26"/>
        <v>1.5486108960262646</v>
      </c>
      <c r="R104" s="67">
        <f t="shared" si="25"/>
        <v>3.4513891039737352</v>
      </c>
    </row>
    <row r="105" spans="1:18" s="95" customFormat="1">
      <c r="A105" s="26" t="s">
        <v>151</v>
      </c>
      <c r="B105" s="44" t="s">
        <v>15</v>
      </c>
      <c r="C105" s="44" t="s">
        <v>100</v>
      </c>
      <c r="D105" s="44" t="s">
        <v>27</v>
      </c>
      <c r="E105" s="92">
        <v>41835</v>
      </c>
      <c r="F105" s="94">
        <v>368.94</v>
      </c>
      <c r="G105" s="93">
        <f t="shared" si="28"/>
        <v>55.341000000000001</v>
      </c>
      <c r="H105" s="91"/>
      <c r="I105" s="26"/>
      <c r="J105" s="91"/>
      <c r="K105" s="93"/>
      <c r="L105" s="93"/>
      <c r="M105" s="26"/>
      <c r="N105" s="26"/>
      <c r="O105" s="26">
        <v>12</v>
      </c>
      <c r="P105" s="94"/>
      <c r="Q105" s="28">
        <f t="shared" si="26"/>
        <v>1.3552339133734483</v>
      </c>
      <c r="R105" s="93">
        <f t="shared" si="25"/>
        <v>3.6447660866265519</v>
      </c>
    </row>
    <row r="106" spans="1:18" s="95" customFormat="1">
      <c r="A106" s="64" t="s">
        <v>152</v>
      </c>
      <c r="B106" s="65" t="s">
        <v>15</v>
      </c>
      <c r="C106" s="65" t="s">
        <v>100</v>
      </c>
      <c r="D106" s="65" t="s">
        <v>27</v>
      </c>
      <c r="E106" s="74">
        <v>41835</v>
      </c>
      <c r="F106" s="68">
        <v>242</v>
      </c>
      <c r="G106" s="67">
        <f t="shared" si="28"/>
        <v>36.299999999999997</v>
      </c>
      <c r="H106" s="66"/>
      <c r="I106" s="64"/>
      <c r="J106" s="66"/>
      <c r="K106" s="67"/>
      <c r="L106" s="67"/>
      <c r="M106" s="64"/>
      <c r="N106" s="64"/>
      <c r="O106" s="64">
        <v>37</v>
      </c>
      <c r="P106" s="68"/>
      <c r="Q106" s="76">
        <f t="shared" si="26"/>
        <v>2.0661157024793391</v>
      </c>
      <c r="R106" s="67">
        <f t="shared" si="25"/>
        <v>2.9338842975206609</v>
      </c>
    </row>
    <row r="107" spans="1:18" s="95" customFormat="1">
      <c r="A107" s="26" t="s">
        <v>153</v>
      </c>
      <c r="B107" s="44" t="s">
        <v>15</v>
      </c>
      <c r="C107" s="44" t="s">
        <v>100</v>
      </c>
      <c r="D107" s="44" t="s">
        <v>27</v>
      </c>
      <c r="E107" s="92">
        <v>41835</v>
      </c>
      <c r="F107" s="94">
        <v>144.94</v>
      </c>
      <c r="G107" s="93">
        <f t="shared" si="28"/>
        <v>21.741</v>
      </c>
      <c r="H107" s="91"/>
      <c r="I107" s="26"/>
      <c r="J107" s="91"/>
      <c r="K107" s="93"/>
      <c r="L107" s="93"/>
      <c r="M107" s="26"/>
      <c r="N107" s="26"/>
      <c r="O107" s="26">
        <v>38</v>
      </c>
      <c r="P107" s="94"/>
      <c r="Q107" s="28">
        <f t="shared" si="26"/>
        <v>3.4497033255140059</v>
      </c>
      <c r="R107" s="93">
        <f t="shared" si="25"/>
        <v>1.5502966744859941</v>
      </c>
    </row>
    <row r="108" spans="1:18" s="95" customFormat="1">
      <c r="A108" s="64" t="s">
        <v>154</v>
      </c>
      <c r="B108" s="65" t="s">
        <v>15</v>
      </c>
      <c r="C108" s="65" t="s">
        <v>100</v>
      </c>
      <c r="D108" s="65" t="s">
        <v>27</v>
      </c>
      <c r="E108" s="74">
        <v>41835</v>
      </c>
      <c r="F108" s="68">
        <v>225.57</v>
      </c>
      <c r="G108" s="67">
        <f t="shared" si="28"/>
        <v>33.835500000000003</v>
      </c>
      <c r="H108" s="66"/>
      <c r="I108" s="64"/>
      <c r="J108" s="66"/>
      <c r="K108" s="67"/>
      <c r="L108" s="67"/>
      <c r="M108" s="64"/>
      <c r="N108" s="64"/>
      <c r="O108" s="64">
        <v>39</v>
      </c>
      <c r="P108" s="68"/>
      <c r="Q108" s="76">
        <f t="shared" si="26"/>
        <v>2.2166068182825733</v>
      </c>
      <c r="R108" s="67">
        <f t="shared" ref="R108:R109" si="29">5-Q108</f>
        <v>2.7833931817174267</v>
      </c>
    </row>
    <row r="109" spans="1:18" s="95" customFormat="1">
      <c r="A109" s="26" t="s">
        <v>155</v>
      </c>
      <c r="B109" s="44" t="s">
        <v>15</v>
      </c>
      <c r="C109" s="44" t="s">
        <v>100</v>
      </c>
      <c r="D109" s="44" t="s">
        <v>27</v>
      </c>
      <c r="E109" s="92">
        <v>41835</v>
      </c>
      <c r="F109" s="94">
        <v>214.82</v>
      </c>
      <c r="G109" s="93">
        <f>F109*150/1000</f>
        <v>32.222999999999999</v>
      </c>
      <c r="H109" s="91"/>
      <c r="I109" s="26"/>
      <c r="J109" s="91"/>
      <c r="K109" s="93"/>
      <c r="L109" s="93"/>
      <c r="M109" s="26"/>
      <c r="N109" s="26"/>
      <c r="O109" s="26">
        <v>40</v>
      </c>
      <c r="P109" s="94"/>
      <c r="Q109" s="28">
        <f>100/(F109/5)</f>
        <v>2.3275300251373245</v>
      </c>
      <c r="R109" s="93">
        <f t="shared" si="29"/>
        <v>2.6724699748626755</v>
      </c>
    </row>
    <row r="110" spans="1:18" s="90" customFormat="1">
      <c r="A110" s="30" t="s">
        <v>97</v>
      </c>
      <c r="B110" s="106" t="s">
        <v>15</v>
      </c>
      <c r="C110" s="106" t="s">
        <v>100</v>
      </c>
      <c r="D110" s="106" t="s">
        <v>27</v>
      </c>
      <c r="E110" s="116">
        <v>41754</v>
      </c>
      <c r="F110" s="115">
        <v>222.41</v>
      </c>
      <c r="G110" s="113">
        <f t="shared" ref="G110" si="30">30*F110/1000</f>
        <v>6.6722999999999999</v>
      </c>
      <c r="H110" s="114"/>
      <c r="I110" s="30"/>
      <c r="J110" s="114">
        <v>41754</v>
      </c>
      <c r="K110" s="113"/>
      <c r="L110" s="113"/>
      <c r="M110" s="30"/>
      <c r="N110" s="30"/>
      <c r="O110" s="30">
        <v>9</v>
      </c>
      <c r="P110" s="115"/>
      <c r="Q110" s="118">
        <f>100/(F110/5)</f>
        <v>2.2481003551998562</v>
      </c>
      <c r="R110" s="113" t="e">
        <f>5-Table2[[#This Row],[vol for 100ng small RNA]]</f>
        <v>#VALUE!</v>
      </c>
    </row>
    <row r="111" spans="1:18" s="90" customFormat="1">
      <c r="A111" s="64"/>
      <c r="B111" s="65"/>
      <c r="C111" s="65"/>
      <c r="D111" s="65"/>
      <c r="E111" s="74"/>
      <c r="F111" s="125"/>
      <c r="G111" s="67"/>
      <c r="H111" s="66"/>
      <c r="I111" s="64"/>
      <c r="J111" s="66"/>
      <c r="K111" s="67"/>
      <c r="L111" s="67"/>
      <c r="M111" s="64"/>
      <c r="N111" s="64"/>
      <c r="O111" s="64"/>
      <c r="P111" s="68"/>
      <c r="Q111" s="76"/>
      <c r="R111" s="67"/>
    </row>
    <row r="112" spans="1:18" s="90" customFormat="1">
      <c r="A112" s="64" t="s">
        <v>174</v>
      </c>
      <c r="B112" s="65" t="s">
        <v>15</v>
      </c>
      <c r="C112" s="65" t="s">
        <v>100</v>
      </c>
      <c r="D112" s="65" t="s">
        <v>27</v>
      </c>
      <c r="E112" s="74">
        <v>41893</v>
      </c>
      <c r="F112" s="68">
        <v>1555.08</v>
      </c>
      <c r="G112" s="66"/>
      <c r="H112" s="66">
        <v>41897</v>
      </c>
      <c r="I112" s="67">
        <v>2131.79</v>
      </c>
      <c r="J112" s="66"/>
      <c r="K112" s="67"/>
      <c r="L112" s="67"/>
      <c r="M112" s="64"/>
      <c r="N112" s="64"/>
      <c r="O112" s="64"/>
      <c r="P112" s="68"/>
      <c r="Q112" s="76"/>
      <c r="R112" s="67"/>
    </row>
    <row r="113" spans="1:18" s="90" customFormat="1">
      <c r="A113" s="11" t="s">
        <v>175</v>
      </c>
      <c r="B113" s="42" t="s">
        <v>15</v>
      </c>
      <c r="C113" s="42" t="s">
        <v>100</v>
      </c>
      <c r="D113" s="42" t="s">
        <v>27</v>
      </c>
      <c r="E113" s="69">
        <v>41893</v>
      </c>
      <c r="F113" s="126">
        <v>842.83</v>
      </c>
      <c r="G113" s="91"/>
      <c r="H113" s="91">
        <v>41897</v>
      </c>
      <c r="I113" s="93">
        <v>2240.3000000000002</v>
      </c>
      <c r="J113" s="91"/>
      <c r="K113" s="67"/>
      <c r="L113" s="67"/>
      <c r="M113" s="64"/>
      <c r="N113" s="64"/>
      <c r="O113" s="64"/>
      <c r="P113" s="68"/>
      <c r="Q113" s="76"/>
      <c r="R113" s="67"/>
    </row>
    <row r="114" spans="1:18" s="90" customFormat="1">
      <c r="A114" s="64" t="s">
        <v>176</v>
      </c>
      <c r="B114" s="65" t="s">
        <v>15</v>
      </c>
      <c r="C114" s="65" t="s">
        <v>100</v>
      </c>
      <c r="D114" s="65" t="s">
        <v>27</v>
      </c>
      <c r="E114" s="74">
        <v>41893</v>
      </c>
      <c r="F114" s="68">
        <v>1209.8399999999999</v>
      </c>
      <c r="G114" s="66"/>
      <c r="H114" s="66">
        <v>41897</v>
      </c>
      <c r="I114" s="67">
        <v>1781.92</v>
      </c>
      <c r="J114" s="66"/>
      <c r="K114" s="67"/>
      <c r="L114" s="67"/>
      <c r="M114" s="64"/>
      <c r="N114" s="64"/>
      <c r="O114" s="64"/>
      <c r="P114" s="68"/>
      <c r="Q114" s="76"/>
      <c r="R114" s="67"/>
    </row>
    <row r="115" spans="1:18">
      <c r="A115" s="11" t="s">
        <v>177</v>
      </c>
      <c r="B115" s="42" t="s">
        <v>15</v>
      </c>
      <c r="C115" s="42" t="s">
        <v>100</v>
      </c>
      <c r="D115" s="42" t="s">
        <v>27</v>
      </c>
      <c r="E115" s="69">
        <v>41893</v>
      </c>
      <c r="F115" s="126">
        <v>1801.83</v>
      </c>
      <c r="G115" s="91"/>
      <c r="H115" s="91">
        <v>41897</v>
      </c>
      <c r="I115" s="93">
        <v>2777.86</v>
      </c>
      <c r="J115" s="91"/>
      <c r="K115" s="67"/>
      <c r="L115" s="67"/>
      <c r="M115" s="64"/>
      <c r="N115" s="64"/>
      <c r="O115" s="64"/>
      <c r="P115" s="68"/>
      <c r="Q115" s="76"/>
      <c r="R115" s="67"/>
    </row>
    <row r="116" spans="1:18" ht="15.6" customHeight="1">
      <c r="A116" s="64" t="s">
        <v>178</v>
      </c>
      <c r="B116" s="65" t="s">
        <v>15</v>
      </c>
      <c r="C116" s="65" t="s">
        <v>100</v>
      </c>
      <c r="D116" s="65" t="s">
        <v>27</v>
      </c>
      <c r="E116" s="74">
        <v>41893</v>
      </c>
      <c r="F116" s="68">
        <v>1106.07</v>
      </c>
      <c r="G116" s="66"/>
      <c r="H116" s="66">
        <v>41897</v>
      </c>
      <c r="I116" s="67">
        <v>2524.75</v>
      </c>
      <c r="J116" s="66"/>
      <c r="K116" s="67"/>
      <c r="L116" s="67"/>
      <c r="M116" s="64"/>
      <c r="N116" s="64"/>
      <c r="O116" s="64"/>
      <c r="P116" s="68"/>
      <c r="Q116" s="76"/>
      <c r="R116" s="67"/>
    </row>
    <row r="117" spans="1:18">
      <c r="A117" s="11" t="s">
        <v>179</v>
      </c>
      <c r="B117" s="42" t="s">
        <v>15</v>
      </c>
      <c r="C117" s="42" t="s">
        <v>100</v>
      </c>
      <c r="D117" s="42" t="s">
        <v>27</v>
      </c>
      <c r="E117" s="69">
        <v>41893</v>
      </c>
      <c r="F117" s="47">
        <v>686.62</v>
      </c>
      <c r="G117" s="91"/>
      <c r="H117" s="91">
        <v>41897</v>
      </c>
      <c r="I117" s="93">
        <v>1963.46</v>
      </c>
      <c r="J117" s="91"/>
      <c r="K117" s="13"/>
      <c r="L117" s="13"/>
      <c r="M117" s="11"/>
      <c r="N117" s="11"/>
      <c r="O117" s="11"/>
      <c r="P117" s="47"/>
      <c r="Q117" s="28"/>
      <c r="R117" s="13"/>
    </row>
    <row r="118" spans="1:18">
      <c r="A118" s="64" t="s">
        <v>180</v>
      </c>
      <c r="B118" s="65" t="s">
        <v>15</v>
      </c>
      <c r="C118" s="65" t="s">
        <v>100</v>
      </c>
      <c r="D118" s="65" t="s">
        <v>27</v>
      </c>
      <c r="E118" s="74">
        <v>41893</v>
      </c>
      <c r="F118" s="68">
        <v>1260.32</v>
      </c>
      <c r="G118" s="66"/>
      <c r="H118" s="66">
        <v>41897</v>
      </c>
      <c r="I118" s="67">
        <v>2128.13</v>
      </c>
      <c r="J118" s="66"/>
      <c r="K118" s="3"/>
      <c r="L118" s="3"/>
      <c r="M118" s="3"/>
      <c r="N118" s="3"/>
      <c r="O118" s="3"/>
      <c r="P118" s="3"/>
      <c r="Q118" s="3"/>
      <c r="R118" s="3"/>
    </row>
    <row r="119" spans="1:18">
      <c r="A119" s="11" t="s">
        <v>181</v>
      </c>
      <c r="B119" s="42" t="s">
        <v>15</v>
      </c>
      <c r="C119" s="42" t="s">
        <v>100</v>
      </c>
      <c r="D119" s="42" t="s">
        <v>27</v>
      </c>
      <c r="E119" s="69">
        <v>41893</v>
      </c>
      <c r="F119" s="94">
        <v>1122.67</v>
      </c>
      <c r="G119" s="91"/>
      <c r="H119" s="91">
        <v>41897</v>
      </c>
      <c r="I119" s="93">
        <v>2739.61</v>
      </c>
      <c r="J119" s="91"/>
      <c r="K119" s="3"/>
      <c r="L119" s="3"/>
      <c r="M119" s="3"/>
      <c r="N119" s="3"/>
      <c r="O119" s="3"/>
      <c r="P119" s="3"/>
      <c r="Q119" s="3"/>
      <c r="R119" s="3"/>
    </row>
    <row r="120" spans="1:18">
      <c r="A120" s="64" t="s">
        <v>182</v>
      </c>
      <c r="B120" s="65" t="s">
        <v>15</v>
      </c>
      <c r="C120" s="65" t="s">
        <v>100</v>
      </c>
      <c r="D120" s="65" t="s">
        <v>27</v>
      </c>
      <c r="E120" s="74">
        <v>41893</v>
      </c>
      <c r="F120" s="68">
        <v>1039.23</v>
      </c>
      <c r="G120" s="66"/>
      <c r="H120" s="66">
        <v>41897</v>
      </c>
      <c r="I120" s="67">
        <v>2441.56</v>
      </c>
      <c r="J120" s="66"/>
      <c r="K120" s="3"/>
      <c r="L120" s="3"/>
      <c r="M120" s="3"/>
      <c r="N120" s="3"/>
      <c r="O120" s="3"/>
      <c r="P120" s="3"/>
      <c r="Q120" s="3"/>
      <c r="R120" s="3"/>
    </row>
    <row r="121" spans="1:18">
      <c r="A121" s="11" t="s">
        <v>183</v>
      </c>
      <c r="B121" s="42" t="s">
        <v>15</v>
      </c>
      <c r="C121" s="42" t="s">
        <v>100</v>
      </c>
      <c r="D121" s="42" t="s">
        <v>27</v>
      </c>
      <c r="E121" s="69">
        <v>41893</v>
      </c>
      <c r="F121" s="94">
        <v>1495.1</v>
      </c>
      <c r="G121" s="91"/>
      <c r="H121" s="91">
        <v>41897</v>
      </c>
      <c r="I121" s="93">
        <v>2232.67</v>
      </c>
      <c r="J121" s="91"/>
      <c r="K121" s="3"/>
      <c r="L121" s="3"/>
      <c r="M121" s="3"/>
      <c r="N121" s="3"/>
      <c r="O121" s="3"/>
      <c r="P121" s="3"/>
      <c r="Q121" s="3"/>
      <c r="R121" s="3"/>
    </row>
    <row r="122" spans="1:18">
      <c r="A122" s="64" t="s">
        <v>184</v>
      </c>
      <c r="B122" s="65" t="s">
        <v>15</v>
      </c>
      <c r="C122" s="65" t="s">
        <v>100</v>
      </c>
      <c r="D122" s="65" t="s">
        <v>27</v>
      </c>
      <c r="E122" s="74">
        <v>41893</v>
      </c>
      <c r="F122" s="68">
        <v>938.22</v>
      </c>
      <c r="G122" s="66"/>
      <c r="H122" s="66">
        <v>41897</v>
      </c>
      <c r="I122" s="67">
        <v>2351.54</v>
      </c>
      <c r="J122" s="66"/>
      <c r="K122" s="3"/>
      <c r="L122" s="3"/>
      <c r="M122" s="3"/>
      <c r="N122" s="3"/>
      <c r="O122" s="3"/>
      <c r="P122" s="3"/>
      <c r="Q122" s="3"/>
      <c r="R122" s="3"/>
    </row>
    <row r="123" spans="1:18">
      <c r="A123" s="11" t="s">
        <v>185</v>
      </c>
      <c r="B123" s="42" t="s">
        <v>15</v>
      </c>
      <c r="C123" s="42" t="s">
        <v>100</v>
      </c>
      <c r="D123" s="42" t="s">
        <v>27</v>
      </c>
      <c r="E123" s="69">
        <v>41893</v>
      </c>
      <c r="F123" s="94">
        <v>1332.85</v>
      </c>
      <c r="G123" s="91"/>
      <c r="H123" s="91">
        <v>41897</v>
      </c>
      <c r="I123" s="93">
        <v>2606.7800000000002</v>
      </c>
      <c r="J123" s="91"/>
      <c r="K123" s="3"/>
      <c r="L123" s="3"/>
      <c r="M123" s="3"/>
      <c r="N123" s="3"/>
      <c r="O123" s="3"/>
      <c r="P123" s="3"/>
      <c r="Q123" s="3"/>
      <c r="R123" s="3"/>
    </row>
    <row r="124" spans="1:18">
      <c r="A124" s="64" t="s">
        <v>186</v>
      </c>
      <c r="B124" s="65" t="s">
        <v>15</v>
      </c>
      <c r="C124" s="65" t="s">
        <v>100</v>
      </c>
      <c r="D124" s="65" t="s">
        <v>27</v>
      </c>
      <c r="E124" s="74">
        <v>41893</v>
      </c>
      <c r="F124" s="68">
        <v>955.56</v>
      </c>
      <c r="G124" s="66"/>
      <c r="H124" s="66">
        <v>41897</v>
      </c>
      <c r="I124" s="67">
        <v>2568.73</v>
      </c>
      <c r="J124" s="66"/>
      <c r="K124" s="3"/>
      <c r="L124" s="3"/>
      <c r="M124" s="3"/>
      <c r="N124" s="3"/>
      <c r="O124" s="3"/>
      <c r="P124" s="3"/>
      <c r="Q124" s="3"/>
      <c r="R124" s="3"/>
    </row>
    <row r="125" spans="1:18" s="95" customFormat="1">
      <c r="A125" s="26" t="s">
        <v>105</v>
      </c>
      <c r="B125" s="44" t="s">
        <v>15</v>
      </c>
      <c r="C125" s="44" t="s">
        <v>100</v>
      </c>
      <c r="D125" s="44" t="s">
        <v>27</v>
      </c>
      <c r="E125" s="92">
        <v>41668</v>
      </c>
      <c r="F125" s="94">
        <v>1834.03</v>
      </c>
      <c r="G125" s="91"/>
      <c r="H125" s="91">
        <v>41669</v>
      </c>
      <c r="I125" s="93">
        <v>1653.09</v>
      </c>
      <c r="J125" s="91"/>
      <c r="K125" s="119"/>
      <c r="L125" s="119"/>
      <c r="M125" s="119"/>
      <c r="N125" s="119"/>
      <c r="O125" s="119">
        <v>14</v>
      </c>
      <c r="P125" s="119"/>
      <c r="Q125" s="119"/>
      <c r="R125" s="119"/>
    </row>
    <row r="126" spans="1:18">
      <c r="A126" s="64" t="s">
        <v>106</v>
      </c>
      <c r="B126" s="65" t="s">
        <v>15</v>
      </c>
      <c r="C126" s="65" t="s">
        <v>100</v>
      </c>
      <c r="D126" s="65" t="s">
        <v>27</v>
      </c>
      <c r="E126" s="74">
        <v>41668</v>
      </c>
      <c r="F126" s="68">
        <v>1378.63</v>
      </c>
      <c r="G126" s="120"/>
      <c r="H126" s="121">
        <v>41669</v>
      </c>
      <c r="I126" s="122">
        <v>1440.16</v>
      </c>
      <c r="J126" s="120"/>
      <c r="K126" s="120"/>
      <c r="L126" s="120"/>
      <c r="M126" s="120"/>
      <c r="N126" s="120"/>
      <c r="O126" s="120">
        <v>15</v>
      </c>
      <c r="P126" s="120"/>
      <c r="Q126" s="120"/>
      <c r="R126" s="120"/>
    </row>
    <row r="127" spans="1:18" s="90" customFormat="1">
      <c r="A127" s="30" t="s">
        <v>81</v>
      </c>
      <c r="B127" s="106" t="s">
        <v>15</v>
      </c>
      <c r="C127" s="106" t="s">
        <v>100</v>
      </c>
      <c r="D127" s="106" t="s">
        <v>27</v>
      </c>
      <c r="E127" s="116">
        <v>41753</v>
      </c>
      <c r="F127" s="115">
        <v>983.6</v>
      </c>
      <c r="G127" s="113" t="e">
        <f>130*Table2[[#This Row],[RNA 
concentration
(ng/uL)]]/1000</f>
        <v>#VALUE!</v>
      </c>
      <c r="H127" s="114">
        <v>41754</v>
      </c>
      <c r="I127" s="30">
        <v>1715.4</v>
      </c>
      <c r="J127" s="114"/>
      <c r="K127" s="113">
        <f>1000/I127</f>
        <v>0.58295441296490613</v>
      </c>
      <c r="L127" s="113">
        <f>6-K127</f>
        <v>5.4170455870350942</v>
      </c>
      <c r="M127" s="30">
        <v>4</v>
      </c>
      <c r="N127" s="30">
        <v>1</v>
      </c>
      <c r="O127" s="30">
        <v>15</v>
      </c>
      <c r="P127" s="115">
        <v>2.92</v>
      </c>
      <c r="Q127" s="117">
        <v>2.25</v>
      </c>
      <c r="R127" s="115">
        <v>2.75</v>
      </c>
    </row>
    <row r="128" spans="1:18">
      <c r="A128" s="11" t="s">
        <v>187</v>
      </c>
      <c r="B128" s="42" t="s">
        <v>15</v>
      </c>
      <c r="C128" s="42" t="s">
        <v>100</v>
      </c>
      <c r="D128" s="42" t="s">
        <v>27</v>
      </c>
      <c r="E128" s="69">
        <v>41894</v>
      </c>
      <c r="F128" s="94">
        <v>270.79000000000002</v>
      </c>
      <c r="G128" s="3">
        <f>F128/5</f>
        <v>54.158000000000001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</row>
    <row r="129" spans="1:18">
      <c r="A129" s="64" t="s">
        <v>188</v>
      </c>
      <c r="B129" s="65" t="s">
        <v>15</v>
      </c>
      <c r="C129" s="65" t="s">
        <v>100</v>
      </c>
      <c r="D129" s="65" t="s">
        <v>27</v>
      </c>
      <c r="E129" s="74">
        <v>41894</v>
      </c>
      <c r="F129" s="68">
        <v>462.66</v>
      </c>
      <c r="G129" s="66"/>
      <c r="H129" s="66"/>
      <c r="I129" s="67"/>
      <c r="J129" s="66"/>
      <c r="K129" s="3"/>
      <c r="L129" s="3"/>
      <c r="M129" s="3"/>
      <c r="N129" s="3"/>
      <c r="O129" s="3"/>
      <c r="P129" s="3"/>
      <c r="Q129" s="3"/>
      <c r="R129" s="3"/>
    </row>
    <row r="130" spans="1:18">
      <c r="A130" s="11" t="s">
        <v>189</v>
      </c>
      <c r="B130" s="42" t="s">
        <v>15</v>
      </c>
      <c r="C130" s="42" t="s">
        <v>100</v>
      </c>
      <c r="D130" s="42" t="s">
        <v>27</v>
      </c>
      <c r="E130" s="69">
        <v>41894</v>
      </c>
      <c r="F130" s="94">
        <v>150.35</v>
      </c>
      <c r="G130" s="91"/>
      <c r="H130" s="91"/>
      <c r="I130" s="93"/>
      <c r="J130" s="91"/>
      <c r="K130" s="3"/>
      <c r="L130" s="3"/>
      <c r="M130" s="3"/>
      <c r="N130" s="3"/>
      <c r="O130" s="3"/>
      <c r="P130" s="3"/>
      <c r="Q130" s="3"/>
      <c r="R130" s="3"/>
    </row>
    <row r="131" spans="1:18">
      <c r="A131" s="64" t="s">
        <v>190</v>
      </c>
      <c r="B131" s="65" t="s">
        <v>15</v>
      </c>
      <c r="C131" s="65" t="s">
        <v>100</v>
      </c>
      <c r="D131" s="65" t="s">
        <v>27</v>
      </c>
      <c r="E131" s="74">
        <v>41894</v>
      </c>
      <c r="F131" s="68">
        <v>430.07</v>
      </c>
      <c r="G131" s="66"/>
      <c r="H131" s="66"/>
      <c r="I131" s="67"/>
      <c r="J131" s="66"/>
      <c r="K131" s="3"/>
      <c r="L131" s="3"/>
      <c r="M131" s="3"/>
      <c r="N131" s="3"/>
      <c r="O131" s="3"/>
      <c r="P131" s="3"/>
      <c r="Q131" s="3"/>
      <c r="R131" s="3"/>
    </row>
    <row r="132" spans="1:18">
      <c r="A132" s="26" t="s">
        <v>191</v>
      </c>
      <c r="B132" s="44" t="s">
        <v>15</v>
      </c>
      <c r="C132" s="44" t="s">
        <v>100</v>
      </c>
      <c r="D132" s="44" t="s">
        <v>27</v>
      </c>
      <c r="E132" s="92">
        <v>41894</v>
      </c>
      <c r="F132" s="94">
        <v>202.16</v>
      </c>
      <c r="G132" s="91"/>
      <c r="H132" s="91"/>
      <c r="I132" s="93"/>
      <c r="J132" s="91"/>
      <c r="K132" s="3"/>
      <c r="L132" s="3"/>
      <c r="M132" s="3"/>
      <c r="N132" s="3"/>
      <c r="O132" s="3"/>
      <c r="P132" s="3"/>
      <c r="Q132" s="3"/>
      <c r="R132" s="3"/>
    </row>
    <row r="133" spans="1:18">
      <c r="A133" s="64" t="s">
        <v>192</v>
      </c>
      <c r="B133" s="65" t="s">
        <v>15</v>
      </c>
      <c r="C133" s="65" t="s">
        <v>100</v>
      </c>
      <c r="D133" s="65" t="s">
        <v>27</v>
      </c>
      <c r="E133" s="74">
        <v>41894</v>
      </c>
      <c r="F133" s="68">
        <v>233.76</v>
      </c>
      <c r="G133" s="66"/>
      <c r="H133" s="66"/>
      <c r="I133" s="67"/>
      <c r="J133" s="66"/>
      <c r="K133" s="3"/>
      <c r="L133" s="3"/>
      <c r="M133" s="3"/>
      <c r="N133" s="3"/>
      <c r="O133" s="3"/>
      <c r="P133" s="3"/>
      <c r="Q133" s="3"/>
      <c r="R133" s="3"/>
    </row>
    <row r="134" spans="1:18">
      <c r="A134" s="26" t="s">
        <v>193</v>
      </c>
      <c r="B134" s="44" t="s">
        <v>15</v>
      </c>
      <c r="C134" s="44" t="s">
        <v>100</v>
      </c>
      <c r="D134" s="44" t="s">
        <v>27</v>
      </c>
      <c r="E134" s="92">
        <v>41894</v>
      </c>
      <c r="F134" s="94">
        <v>180.05</v>
      </c>
      <c r="G134" s="91"/>
      <c r="H134" s="91"/>
      <c r="I134" s="93"/>
      <c r="J134" s="91"/>
      <c r="K134" s="3"/>
      <c r="L134" s="3"/>
      <c r="M134" s="3"/>
      <c r="N134" s="3"/>
      <c r="O134" s="3"/>
      <c r="P134" s="3"/>
      <c r="Q134" s="3"/>
      <c r="R134" s="3"/>
    </row>
    <row r="135" spans="1:18">
      <c r="A135" s="64" t="s">
        <v>194</v>
      </c>
      <c r="B135" s="65" t="s">
        <v>15</v>
      </c>
      <c r="C135" s="65" t="s">
        <v>100</v>
      </c>
      <c r="D135" s="65" t="s">
        <v>27</v>
      </c>
      <c r="E135" s="74">
        <v>41894</v>
      </c>
      <c r="F135" s="68">
        <v>269.76</v>
      </c>
      <c r="G135" s="66"/>
      <c r="H135" s="66"/>
      <c r="I135" s="67"/>
      <c r="J135" s="66"/>
      <c r="K135" s="3"/>
      <c r="L135" s="3"/>
      <c r="M135" s="3"/>
      <c r="N135" s="3"/>
      <c r="O135" s="3"/>
      <c r="P135" s="3"/>
      <c r="Q135" s="3"/>
      <c r="R135" s="3"/>
    </row>
    <row r="136" spans="1:18">
      <c r="A136" s="26" t="s">
        <v>195</v>
      </c>
      <c r="B136" s="44" t="s">
        <v>15</v>
      </c>
      <c r="C136" s="44" t="s">
        <v>100</v>
      </c>
      <c r="D136" s="44" t="s">
        <v>27</v>
      </c>
      <c r="E136" s="92">
        <v>41894</v>
      </c>
      <c r="F136" s="94">
        <v>227.16</v>
      </c>
      <c r="G136" s="91"/>
      <c r="H136" s="91"/>
      <c r="I136" s="93"/>
      <c r="J136" s="91"/>
      <c r="K136" s="3"/>
      <c r="L136" s="3"/>
      <c r="M136" s="3"/>
      <c r="N136" s="3"/>
      <c r="O136" s="3"/>
      <c r="P136" s="3"/>
      <c r="Q136" s="3"/>
      <c r="R136" s="3"/>
    </row>
    <row r="137" spans="1:18">
      <c r="A137" s="64" t="s">
        <v>196</v>
      </c>
      <c r="B137" s="65" t="s">
        <v>15</v>
      </c>
      <c r="C137" s="65" t="s">
        <v>100</v>
      </c>
      <c r="D137" s="65" t="s">
        <v>27</v>
      </c>
      <c r="E137" s="74">
        <v>41894</v>
      </c>
      <c r="F137" s="68">
        <v>192.86</v>
      </c>
      <c r="G137" s="66"/>
      <c r="H137" s="66"/>
      <c r="I137" s="67"/>
      <c r="J137" s="66"/>
      <c r="K137" s="3"/>
      <c r="L137" s="3"/>
      <c r="M137" s="3"/>
      <c r="N137" s="3"/>
      <c r="O137" s="3"/>
      <c r="P137" s="3"/>
      <c r="Q137" s="3"/>
      <c r="R137" s="3"/>
    </row>
    <row r="138" spans="1:18">
      <c r="A138" s="26" t="s">
        <v>197</v>
      </c>
      <c r="B138" s="44" t="s">
        <v>15</v>
      </c>
      <c r="C138" s="44" t="s">
        <v>100</v>
      </c>
      <c r="D138" s="44" t="s">
        <v>27</v>
      </c>
      <c r="E138" s="92">
        <v>41894</v>
      </c>
      <c r="F138" s="94">
        <v>385.84</v>
      </c>
      <c r="G138" s="91"/>
      <c r="H138" s="91"/>
      <c r="I138" s="93"/>
      <c r="J138" s="91"/>
      <c r="K138" s="3"/>
      <c r="L138" s="3"/>
      <c r="M138" s="3"/>
      <c r="N138" s="3"/>
      <c r="O138" s="3"/>
      <c r="P138" s="3"/>
      <c r="Q138" s="3"/>
      <c r="R138" s="3"/>
    </row>
    <row r="139" spans="1:18">
      <c r="A139" s="64" t="s">
        <v>198</v>
      </c>
      <c r="B139" s="65" t="s">
        <v>15</v>
      </c>
      <c r="C139" s="65" t="s">
        <v>100</v>
      </c>
      <c r="D139" s="65" t="s">
        <v>27</v>
      </c>
      <c r="E139" s="74">
        <v>41894</v>
      </c>
      <c r="F139" s="68">
        <v>394.76</v>
      </c>
      <c r="G139" s="66"/>
      <c r="H139" s="66"/>
      <c r="I139" s="67"/>
      <c r="J139" s="66"/>
      <c r="K139" s="3"/>
      <c r="L139" s="3"/>
      <c r="M139" s="3"/>
      <c r="N139" s="3"/>
      <c r="O139" s="3"/>
      <c r="P139" s="3"/>
      <c r="Q139" s="3"/>
      <c r="R139" s="3"/>
    </row>
    <row r="140" spans="1:18">
      <c r="A140" s="26" t="s">
        <v>199</v>
      </c>
      <c r="B140" s="44" t="s">
        <v>15</v>
      </c>
      <c r="C140" s="44" t="s">
        <v>100</v>
      </c>
      <c r="D140" s="44" t="s">
        <v>27</v>
      </c>
      <c r="E140" s="92">
        <v>41894</v>
      </c>
      <c r="F140" s="94">
        <v>178.86</v>
      </c>
      <c r="G140" s="91"/>
      <c r="H140" s="91"/>
      <c r="I140" s="93"/>
      <c r="J140" s="91"/>
      <c r="K140" s="3"/>
      <c r="L140" s="3"/>
      <c r="M140" s="3"/>
      <c r="N140" s="3"/>
      <c r="O140" s="3"/>
      <c r="P140" s="3"/>
      <c r="Q140" s="3"/>
      <c r="R140" s="3"/>
    </row>
    <row r="141" spans="1:18">
      <c r="A141" s="64" t="s">
        <v>112</v>
      </c>
      <c r="B141" s="65" t="s">
        <v>15</v>
      </c>
      <c r="C141" s="65" t="s">
        <v>100</v>
      </c>
      <c r="D141" s="65" t="s">
        <v>27</v>
      </c>
      <c r="E141" s="74"/>
      <c r="F141" s="68">
        <v>350.7</v>
      </c>
      <c r="G141" s="66"/>
      <c r="H141" s="66"/>
      <c r="I141" s="67"/>
      <c r="J141" s="66">
        <v>41669</v>
      </c>
      <c r="K141" s="3"/>
      <c r="L141" s="3"/>
      <c r="M141" s="3"/>
      <c r="N141" s="3"/>
      <c r="O141" s="3"/>
      <c r="P141" s="3"/>
      <c r="Q141" s="3"/>
      <c r="R141" s="3"/>
    </row>
    <row r="142" spans="1:18">
      <c r="A142" s="11" t="s">
        <v>113</v>
      </c>
      <c r="B142" s="44" t="s">
        <v>15</v>
      </c>
      <c r="C142" s="44" t="s">
        <v>100</v>
      </c>
      <c r="D142" s="44" t="s">
        <v>27</v>
      </c>
      <c r="E142" s="92"/>
      <c r="F142" s="94">
        <v>374.13</v>
      </c>
      <c r="G142" s="91"/>
      <c r="H142" s="91"/>
      <c r="I142" s="93"/>
      <c r="J142" s="91">
        <v>41669</v>
      </c>
      <c r="K142" s="3"/>
      <c r="L142" s="3"/>
      <c r="M142" s="3"/>
      <c r="N142" s="3"/>
      <c r="O142" s="3"/>
      <c r="P142" s="3"/>
      <c r="Q142" s="3"/>
      <c r="R142" s="3"/>
    </row>
    <row r="143" spans="1:18" s="90" customFormat="1">
      <c r="A143" s="30" t="s">
        <v>97</v>
      </c>
      <c r="B143" s="106" t="s">
        <v>15</v>
      </c>
      <c r="C143" s="106" t="s">
        <v>100</v>
      </c>
      <c r="D143" s="106" t="s">
        <v>27</v>
      </c>
      <c r="E143" s="116">
        <v>41754</v>
      </c>
      <c r="F143" s="115">
        <v>222.41</v>
      </c>
      <c r="G143" s="113">
        <f t="shared" ref="G143" si="31">30*F143/1000</f>
        <v>6.6722999999999999</v>
      </c>
      <c r="H143" s="114"/>
      <c r="I143" s="30"/>
      <c r="J143" s="114">
        <v>41754</v>
      </c>
      <c r="K143" s="113"/>
      <c r="L143" s="113"/>
      <c r="M143" s="30"/>
      <c r="N143" s="30"/>
      <c r="O143" s="30"/>
      <c r="P143" s="115"/>
      <c r="Q143" s="118"/>
      <c r="R143" s="113"/>
    </row>
    <row r="144" spans="1:18">
      <c r="A144" s="64"/>
      <c r="B144" s="65"/>
      <c r="C144" s="65"/>
      <c r="D144" s="65"/>
      <c r="E144" s="74"/>
      <c r="F144" s="68"/>
      <c r="G144" s="66"/>
      <c r="H144" s="66"/>
      <c r="I144" s="67"/>
      <c r="J144" s="66"/>
      <c r="K144" s="3"/>
      <c r="L144" s="3"/>
      <c r="M144" s="3"/>
      <c r="N144" s="3"/>
      <c r="O144" s="3"/>
      <c r="P144" s="3"/>
      <c r="Q144" s="3"/>
      <c r="R144" s="3"/>
    </row>
    <row r="145" spans="1:18">
      <c r="A145" s="11"/>
      <c r="B145" s="44"/>
      <c r="C145" s="44"/>
      <c r="D145" s="44"/>
      <c r="E145" s="74"/>
      <c r="F145" s="94"/>
      <c r="G145" s="91"/>
      <c r="H145" s="91"/>
      <c r="I145" s="93"/>
      <c r="J145" s="91"/>
      <c r="K145" s="3"/>
      <c r="L145" s="3"/>
      <c r="M145" s="3"/>
      <c r="N145" s="3"/>
      <c r="O145" s="3"/>
      <c r="P145" s="3"/>
      <c r="Q145" s="3"/>
      <c r="R145" s="3"/>
    </row>
    <row r="146" spans="1:18">
      <c r="A146" s="64"/>
      <c r="B146" s="65"/>
      <c r="C146" s="65"/>
      <c r="D146" s="65"/>
      <c r="E146" s="74"/>
      <c r="F146" s="68"/>
      <c r="G146" s="66"/>
      <c r="H146" s="66"/>
      <c r="I146" s="67"/>
      <c r="J146" s="66"/>
      <c r="K146" s="3"/>
      <c r="L146" s="3"/>
      <c r="M146" s="3"/>
      <c r="N146" s="3"/>
      <c r="O146" s="3"/>
      <c r="P146" s="3"/>
      <c r="Q146" s="3"/>
      <c r="R146" s="3"/>
    </row>
    <row r="147" spans="1:18">
      <c r="A147" s="11"/>
      <c r="B147" s="44"/>
      <c r="C147" s="44"/>
      <c r="D147" s="44"/>
      <c r="E147" s="74"/>
      <c r="F147" s="94"/>
      <c r="G147" s="91"/>
      <c r="H147" s="91"/>
      <c r="I147" s="93"/>
      <c r="J147" s="91"/>
      <c r="K147" s="3"/>
      <c r="L147" s="3"/>
      <c r="M147" s="3"/>
      <c r="N147" s="3"/>
      <c r="O147" s="3"/>
      <c r="P147" s="3"/>
      <c r="Q147" s="3"/>
      <c r="R147" s="3"/>
    </row>
    <row r="148" spans="1:18">
      <c r="A148" s="64"/>
      <c r="B148" s="65"/>
      <c r="C148" s="65"/>
      <c r="D148" s="65"/>
      <c r="E148" s="74"/>
      <c r="F148" s="68"/>
      <c r="G148" s="66"/>
      <c r="H148" s="66"/>
      <c r="I148" s="67"/>
      <c r="J148" s="66"/>
      <c r="K148" s="3"/>
      <c r="L148" s="3"/>
      <c r="M148" s="3"/>
      <c r="N148" s="3"/>
      <c r="O148" s="3"/>
      <c r="P148" s="3"/>
      <c r="Q148" s="3"/>
      <c r="R148" s="3"/>
    </row>
    <row r="149" spans="1:18">
      <c r="A149" s="11"/>
      <c r="B149" s="44"/>
      <c r="C149" s="44"/>
      <c r="D149" s="44"/>
      <c r="E149" s="69"/>
      <c r="F149" s="94"/>
      <c r="G149" s="91"/>
      <c r="H149" s="91"/>
      <c r="J149" s="91"/>
    </row>
    <row r="150" spans="1:18">
      <c r="A150" s="64"/>
      <c r="B150" s="65"/>
      <c r="C150" s="65"/>
      <c r="D150" s="65"/>
      <c r="F150" s="68"/>
      <c r="G150" s="66"/>
      <c r="H150" s="66"/>
      <c r="J150" s="66"/>
    </row>
    <row r="151" spans="1:18">
      <c r="A151" s="11"/>
      <c r="B151" s="44"/>
      <c r="C151" s="44"/>
      <c r="D151" s="44"/>
      <c r="F151" s="94"/>
      <c r="G151" s="91"/>
      <c r="H151" s="91"/>
      <c r="J151" s="91"/>
    </row>
    <row r="152" spans="1:18">
      <c r="A152" s="64"/>
      <c r="B152" s="65"/>
      <c r="C152" s="65"/>
      <c r="D152" s="65"/>
      <c r="F152" s="68"/>
      <c r="G152" s="66"/>
      <c r="H152" s="66"/>
      <c r="J152" s="66"/>
    </row>
    <row r="153" spans="1:18">
      <c r="D153" s="44" t="s">
        <v>27</v>
      </c>
      <c r="G153" s="91"/>
      <c r="H153" s="91"/>
    </row>
    <row r="154" spans="1:18">
      <c r="D154" s="65" t="s">
        <v>27</v>
      </c>
      <c r="G154" s="66"/>
      <c r="H154" s="66"/>
    </row>
  </sheetData>
  <pageMargins left="0.7" right="0.7" top="0.75" bottom="0.75" header="0.3" footer="0.3"/>
  <pageSetup scale="55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3"/>
  <sheetViews>
    <sheetView topLeftCell="A7" workbookViewId="0">
      <selection activeCell="B12" sqref="B12"/>
    </sheetView>
  </sheetViews>
  <sheetFormatPr defaultRowHeight="14.4"/>
  <cols>
    <col min="1" max="1" width="30.44140625" customWidth="1"/>
    <col min="2" max="2" width="17.33203125" customWidth="1"/>
    <col min="3" max="3" width="15.33203125" customWidth="1"/>
    <col min="4" max="4" width="10.77734375" customWidth="1"/>
    <col min="6" max="6" width="6.88671875" customWidth="1"/>
    <col min="7" max="7" width="13.109375" customWidth="1"/>
    <col min="8" max="8" width="13.5546875" customWidth="1"/>
    <col min="9" max="9" width="10.109375" customWidth="1"/>
  </cols>
  <sheetData>
    <row r="4" spans="1:9" ht="57.6">
      <c r="A4" s="40" t="s">
        <v>116</v>
      </c>
      <c r="B4" s="41" t="s">
        <v>205</v>
      </c>
      <c r="C4" s="40" t="s">
        <v>119</v>
      </c>
      <c r="D4" s="40" t="s">
        <v>120</v>
      </c>
      <c r="E4" s="41" t="s">
        <v>123</v>
      </c>
      <c r="F4" s="40" t="s">
        <v>121</v>
      </c>
      <c r="G4" s="80" t="s">
        <v>125</v>
      </c>
      <c r="H4" s="81" t="s">
        <v>119</v>
      </c>
      <c r="I4" s="41" t="s">
        <v>124</v>
      </c>
    </row>
    <row r="5" spans="1:9">
      <c r="A5" s="77" t="s">
        <v>174</v>
      </c>
      <c r="B5" s="4">
        <f>1000/213.2</f>
        <v>4.6904315196998123</v>
      </c>
      <c r="C5" s="4">
        <f t="shared" ref="C5:C12" si="0">6-B5</f>
        <v>1.3095684803001877</v>
      </c>
      <c r="D5" s="3">
        <v>1</v>
      </c>
      <c r="E5" s="78">
        <v>2</v>
      </c>
      <c r="F5" s="3">
        <v>1</v>
      </c>
      <c r="G5" s="4">
        <f>100/(270.79/5)</f>
        <v>1.8464492780383321</v>
      </c>
      <c r="H5" s="4">
        <f t="shared" ref="H5:H12" si="1">5-G5</f>
        <v>3.1535507219616679</v>
      </c>
      <c r="I5" s="3">
        <v>1</v>
      </c>
    </row>
    <row r="6" spans="1:9">
      <c r="A6" s="77" t="s">
        <v>182</v>
      </c>
      <c r="B6" s="4">
        <f>1000/244.2</f>
        <v>4.0950040950040956</v>
      </c>
      <c r="C6" s="4">
        <f t="shared" si="0"/>
        <v>1.9049959049959044</v>
      </c>
      <c r="D6" s="3">
        <v>1</v>
      </c>
      <c r="E6" s="78">
        <v>6</v>
      </c>
      <c r="F6" s="3">
        <v>2</v>
      </c>
      <c r="G6" s="4">
        <f>100/(227.16/5)</f>
        <v>2.2010917415037858</v>
      </c>
      <c r="H6" s="4">
        <f t="shared" si="1"/>
        <v>2.7989082584962142</v>
      </c>
      <c r="I6" s="3">
        <v>2</v>
      </c>
    </row>
    <row r="7" spans="1:9">
      <c r="A7" s="77" t="s">
        <v>176</v>
      </c>
      <c r="B7" s="4">
        <f>1000/178.2</f>
        <v>5.6116722783389452</v>
      </c>
      <c r="C7" s="4">
        <f t="shared" si="0"/>
        <v>0.38832772166105478</v>
      </c>
      <c r="D7" s="3">
        <v>1</v>
      </c>
      <c r="E7" s="78">
        <v>5</v>
      </c>
      <c r="F7" s="3">
        <v>3</v>
      </c>
      <c r="G7" s="4">
        <f>100/(150.35/5)</f>
        <v>3.3255736614566014</v>
      </c>
      <c r="H7" s="4">
        <f t="shared" si="1"/>
        <v>1.6744263385433986</v>
      </c>
      <c r="I7" s="3">
        <v>3</v>
      </c>
    </row>
    <row r="8" spans="1:9">
      <c r="A8" s="77" t="s">
        <v>177</v>
      </c>
      <c r="B8" s="4">
        <f>1000/277.8</f>
        <v>3.599712023038157</v>
      </c>
      <c r="C8" s="4">
        <f t="shared" si="0"/>
        <v>2.400287976961843</v>
      </c>
      <c r="D8" s="3">
        <v>2</v>
      </c>
      <c r="E8" s="78">
        <v>4</v>
      </c>
      <c r="F8" s="3">
        <v>4</v>
      </c>
      <c r="G8" s="4">
        <f>100/(430.07/5)</f>
        <v>1.1626014369753761</v>
      </c>
      <c r="H8" s="4">
        <f t="shared" si="1"/>
        <v>3.8373985630246237</v>
      </c>
      <c r="I8" s="3">
        <v>4</v>
      </c>
    </row>
    <row r="9" spans="1:9">
      <c r="A9" s="77" t="s">
        <v>184</v>
      </c>
      <c r="B9" s="4">
        <f>1000/235.2</f>
        <v>4.2517006802721093</v>
      </c>
      <c r="C9" s="4">
        <f t="shared" si="0"/>
        <v>1.7482993197278907</v>
      </c>
      <c r="D9" s="3">
        <v>2</v>
      </c>
      <c r="E9" s="78">
        <v>13</v>
      </c>
      <c r="F9" s="3">
        <v>5</v>
      </c>
      <c r="G9" s="4">
        <f>100/(385.84/5)</f>
        <v>1.2958739373833714</v>
      </c>
      <c r="H9" s="4">
        <f t="shared" si="1"/>
        <v>3.7041260626166288</v>
      </c>
      <c r="I9" s="3">
        <v>5</v>
      </c>
    </row>
    <row r="10" spans="1:9">
      <c r="A10" s="77" t="s">
        <v>179</v>
      </c>
      <c r="B10" s="4">
        <f>1000/196.3</f>
        <v>5.0942435048395307</v>
      </c>
      <c r="C10" s="4">
        <f t="shared" si="0"/>
        <v>0.9057564951604693</v>
      </c>
      <c r="D10" s="3">
        <v>1</v>
      </c>
      <c r="E10" s="78">
        <v>14</v>
      </c>
      <c r="F10" s="3">
        <v>6</v>
      </c>
      <c r="G10" s="4">
        <f>100/(233.76/5)</f>
        <v>2.1389459274469544</v>
      </c>
      <c r="H10" s="4">
        <f t="shared" si="1"/>
        <v>2.8610540725530456</v>
      </c>
      <c r="I10" s="3">
        <v>6</v>
      </c>
    </row>
    <row r="11" spans="1:9">
      <c r="A11" s="77" t="s">
        <v>180</v>
      </c>
      <c r="B11" s="4">
        <f>1000/212.8</f>
        <v>4.6992481203007515</v>
      </c>
      <c r="C11" s="4">
        <f t="shared" si="0"/>
        <v>1.3007518796992485</v>
      </c>
      <c r="D11" s="3">
        <v>2</v>
      </c>
      <c r="E11" s="78">
        <v>13</v>
      </c>
      <c r="F11" s="3">
        <v>8</v>
      </c>
      <c r="G11" s="4">
        <f>100/(180.05/5)</f>
        <v>2.7770063871146902</v>
      </c>
      <c r="H11" s="4">
        <f t="shared" si="1"/>
        <v>2.2229936128853098</v>
      </c>
      <c r="I11" s="3">
        <v>7</v>
      </c>
    </row>
    <row r="12" spans="1:9">
      <c r="A12" s="77" t="s">
        <v>200</v>
      </c>
      <c r="B12" s="4">
        <f>1000/1653.09</f>
        <v>0.60492774138129202</v>
      </c>
      <c r="C12" s="4">
        <f t="shared" si="0"/>
        <v>5.3950722586187077</v>
      </c>
      <c r="D12" s="3">
        <v>2</v>
      </c>
      <c r="E12" s="78">
        <v>14</v>
      </c>
      <c r="F12" s="3">
        <v>7</v>
      </c>
      <c r="G12" s="4">
        <f>100/(Pravenec!F141/5)</f>
        <v>1.42571998859424</v>
      </c>
      <c r="H12" s="4">
        <f t="shared" si="1"/>
        <v>3.5742800114057598</v>
      </c>
      <c r="I12" s="3">
        <v>8</v>
      </c>
    </row>
    <row r="13" spans="1:9">
      <c r="A13" s="3"/>
      <c r="B13" s="3"/>
      <c r="C13" s="4"/>
      <c r="D13" s="3"/>
      <c r="E13" s="3"/>
      <c r="F13" s="3"/>
      <c r="G13" s="3"/>
      <c r="H13" s="4"/>
      <c r="I13" s="4"/>
    </row>
    <row r="14" spans="1:9">
      <c r="A14" s="79" t="s">
        <v>175</v>
      </c>
      <c r="B14" s="4">
        <f>1000/224</f>
        <v>4.4642857142857144</v>
      </c>
      <c r="C14" s="4">
        <f t="shared" ref="C14:C21" si="2">6-B14</f>
        <v>1.5357142857142856</v>
      </c>
      <c r="D14" s="3">
        <v>1</v>
      </c>
      <c r="E14" s="79">
        <v>16</v>
      </c>
      <c r="F14" s="3">
        <v>4</v>
      </c>
      <c r="G14" s="4">
        <f>100/(462.66/5)</f>
        <v>1.0807072148013659</v>
      </c>
      <c r="H14" s="4">
        <f t="shared" ref="H14:H21" si="3">5-G14</f>
        <v>3.9192927851986341</v>
      </c>
      <c r="I14" s="3">
        <v>9</v>
      </c>
    </row>
    <row r="15" spans="1:9">
      <c r="A15" s="79" t="s">
        <v>185</v>
      </c>
      <c r="B15" s="4">
        <f>1000/260.7</f>
        <v>3.8358266206367473</v>
      </c>
      <c r="C15" s="4">
        <f t="shared" si="2"/>
        <v>2.1641733793632527</v>
      </c>
      <c r="D15" s="3">
        <v>1</v>
      </c>
      <c r="E15" s="79">
        <v>12</v>
      </c>
      <c r="F15" s="3">
        <v>2</v>
      </c>
      <c r="G15" s="4">
        <f>100/(394.76/5)</f>
        <v>1.2665923599148849</v>
      </c>
      <c r="H15" s="4">
        <f t="shared" si="3"/>
        <v>3.7334076400851153</v>
      </c>
      <c r="I15" s="3">
        <v>10</v>
      </c>
    </row>
    <row r="16" spans="1:9">
      <c r="A16" s="79" t="s">
        <v>178</v>
      </c>
      <c r="B16" s="4">
        <f>1000/252.5</f>
        <v>3.9603960396039604</v>
      </c>
      <c r="C16" s="4">
        <f t="shared" si="2"/>
        <v>2.0396039603960396</v>
      </c>
      <c r="D16" s="3">
        <v>2</v>
      </c>
      <c r="E16" s="79">
        <v>19</v>
      </c>
      <c r="F16" s="3">
        <v>3</v>
      </c>
      <c r="G16" s="4">
        <f>100/(202.16/5)</f>
        <v>2.4732884843688168</v>
      </c>
      <c r="H16" s="4">
        <f t="shared" si="3"/>
        <v>2.5267115156311832</v>
      </c>
      <c r="I16" s="3">
        <v>11</v>
      </c>
    </row>
    <row r="17" spans="1:9">
      <c r="A17" s="79" t="s">
        <v>183</v>
      </c>
      <c r="B17" s="4">
        <f>1000/223.3</f>
        <v>4.4782803403493059</v>
      </c>
      <c r="C17" s="4">
        <f t="shared" si="2"/>
        <v>1.5217196596506941</v>
      </c>
      <c r="D17" s="3">
        <v>2</v>
      </c>
      <c r="E17" s="79">
        <v>18</v>
      </c>
      <c r="F17" s="3">
        <v>5</v>
      </c>
      <c r="G17" s="4">
        <f>100/(192.86/5)</f>
        <v>2.5925541843824536</v>
      </c>
      <c r="H17" s="4">
        <f t="shared" si="3"/>
        <v>2.4074458156175464</v>
      </c>
      <c r="I17" s="3">
        <v>12</v>
      </c>
    </row>
    <row r="18" spans="1:9">
      <c r="A18" s="79" t="s">
        <v>186</v>
      </c>
      <c r="B18" s="4">
        <f>1000/256.9</f>
        <v>3.8925652004671081</v>
      </c>
      <c r="C18" s="4">
        <f t="shared" si="2"/>
        <v>2.1074347995328919</v>
      </c>
      <c r="D18" s="3">
        <v>1</v>
      </c>
      <c r="E18" s="79">
        <v>18</v>
      </c>
      <c r="F18" s="3">
        <v>7</v>
      </c>
      <c r="G18" s="4">
        <f>100/(178.86/5)</f>
        <v>2.7954825002795478</v>
      </c>
      <c r="H18" s="4">
        <f t="shared" si="3"/>
        <v>2.2045174997204522</v>
      </c>
      <c r="I18" s="3">
        <v>37</v>
      </c>
    </row>
    <row r="19" spans="1:9">
      <c r="A19" s="79" t="s">
        <v>181</v>
      </c>
      <c r="B19" s="4">
        <f>1000/274</f>
        <v>3.6496350364963503</v>
      </c>
      <c r="C19" s="4">
        <f t="shared" si="2"/>
        <v>2.3503649635036497</v>
      </c>
      <c r="D19" s="3">
        <v>2</v>
      </c>
      <c r="E19" s="79">
        <v>7</v>
      </c>
      <c r="F19" s="3">
        <v>1</v>
      </c>
      <c r="G19" s="4">
        <f>100/(269.76/5)</f>
        <v>1.8534994068801898</v>
      </c>
      <c r="H19" s="4">
        <f t="shared" si="3"/>
        <v>3.1465005931198102</v>
      </c>
      <c r="I19" s="3">
        <v>38</v>
      </c>
    </row>
    <row r="20" spans="1:9">
      <c r="A20" s="79" t="s">
        <v>202</v>
      </c>
      <c r="B20" s="4">
        <f>1000/Pravenec!F43</f>
        <v>0.57088052612349283</v>
      </c>
      <c r="C20" s="4">
        <f t="shared" si="2"/>
        <v>5.429119473876507</v>
      </c>
      <c r="D20" s="3">
        <v>1</v>
      </c>
      <c r="E20" s="79">
        <v>15</v>
      </c>
      <c r="F20" s="3">
        <v>8</v>
      </c>
      <c r="G20" s="4">
        <f>100/(Pravenec!F143/5)</f>
        <v>2.2481003551998562</v>
      </c>
      <c r="H20" s="4">
        <f t="shared" si="3"/>
        <v>2.7518996448001438</v>
      </c>
      <c r="I20" s="3">
        <v>39</v>
      </c>
    </row>
    <row r="21" spans="1:9">
      <c r="A21" s="79" t="s">
        <v>201</v>
      </c>
      <c r="B21" s="4">
        <f>1000/1440.16</f>
        <v>0.69436729252305296</v>
      </c>
      <c r="C21" s="4">
        <f t="shared" si="2"/>
        <v>5.3056327074769474</v>
      </c>
      <c r="D21" s="3">
        <v>2</v>
      </c>
      <c r="E21" s="79">
        <v>15</v>
      </c>
      <c r="F21" s="3">
        <v>6</v>
      </c>
      <c r="G21" s="4">
        <f>100/(Pravenec!F142/5)</f>
        <v>1.3364338598882743</v>
      </c>
      <c r="H21" s="4">
        <f t="shared" si="3"/>
        <v>3.6635661401117257</v>
      </c>
      <c r="I21" s="3">
        <v>40</v>
      </c>
    </row>
    <row r="22" spans="1:9">
      <c r="A22" s="128" t="s">
        <v>206</v>
      </c>
    </row>
    <row r="23" spans="1:9">
      <c r="A23" s="129" t="s">
        <v>207</v>
      </c>
    </row>
  </sheetData>
  <pageMargins left="0.7" right="0.7" top="0.75" bottom="0.75" header="0.3" footer="0.3"/>
  <pageSetup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5"/>
  <sheetViews>
    <sheetView topLeftCell="A16" workbookViewId="0">
      <selection activeCell="A39" sqref="A39:C55"/>
    </sheetView>
  </sheetViews>
  <sheetFormatPr defaultRowHeight="14.4"/>
  <cols>
    <col min="1" max="1" width="26.109375" customWidth="1"/>
  </cols>
  <sheetData>
    <row r="4" spans="1:8">
      <c r="B4" t="s">
        <v>157</v>
      </c>
      <c r="C4" t="s">
        <v>158</v>
      </c>
      <c r="F4">
        <v>1</v>
      </c>
      <c r="G4">
        <f>100000*0.07</f>
        <v>7000.0000000000009</v>
      </c>
      <c r="H4">
        <f>G4*0.02</f>
        <v>140.00000000000003</v>
      </c>
    </row>
    <row r="5" spans="1:8">
      <c r="A5" t="s">
        <v>159</v>
      </c>
      <c r="B5">
        <v>595</v>
      </c>
      <c r="C5">
        <v>425</v>
      </c>
      <c r="F5">
        <f>F4+1</f>
        <v>2</v>
      </c>
      <c r="G5">
        <f>G4-H4</f>
        <v>6860.0000000000009</v>
      </c>
      <c r="H5">
        <f>G5*0.02</f>
        <v>137.20000000000002</v>
      </c>
    </row>
    <row r="6" spans="1:8">
      <c r="A6" t="s">
        <v>160</v>
      </c>
      <c r="B6">
        <v>595</v>
      </c>
      <c r="C6">
        <v>425</v>
      </c>
      <c r="F6">
        <f t="shared" ref="F6:F33" si="0">F5+1</f>
        <v>3</v>
      </c>
      <c r="G6">
        <f>G5-H5</f>
        <v>6722.8000000000011</v>
      </c>
      <c r="H6">
        <f t="shared" ref="H6:H33" si="1">G6*0.02</f>
        <v>134.45600000000002</v>
      </c>
    </row>
    <row r="7" spans="1:8">
      <c r="A7" t="s">
        <v>161</v>
      </c>
      <c r="B7">
        <v>175</v>
      </c>
      <c r="C7">
        <v>125</v>
      </c>
      <c r="F7">
        <f t="shared" si="0"/>
        <v>4</v>
      </c>
      <c r="G7">
        <f t="shared" ref="G7:G33" si="2">G6-H6</f>
        <v>6588.344000000001</v>
      </c>
      <c r="H7">
        <f t="shared" si="1"/>
        <v>131.76688000000001</v>
      </c>
    </row>
    <row r="8" spans="1:8">
      <c r="A8" t="s">
        <v>162</v>
      </c>
      <c r="B8">
        <v>25</v>
      </c>
      <c r="C8">
        <v>25</v>
      </c>
      <c r="F8">
        <f t="shared" si="0"/>
        <v>5</v>
      </c>
      <c r="G8">
        <f t="shared" si="2"/>
        <v>6456.5771200000008</v>
      </c>
      <c r="H8">
        <f t="shared" si="1"/>
        <v>129.13154240000003</v>
      </c>
    </row>
    <row r="9" spans="1:8">
      <c r="A9" t="s">
        <v>163</v>
      </c>
      <c r="B9">
        <v>470</v>
      </c>
      <c r="C9">
        <v>335</v>
      </c>
      <c r="F9">
        <f t="shared" si="0"/>
        <v>6</v>
      </c>
      <c r="G9">
        <f t="shared" si="2"/>
        <v>6327.4455776000004</v>
      </c>
      <c r="H9">
        <f t="shared" si="1"/>
        <v>126.54891155200001</v>
      </c>
    </row>
    <row r="10" spans="1:8">
      <c r="A10" t="s">
        <v>164</v>
      </c>
      <c r="B10">
        <v>700</v>
      </c>
      <c r="C10">
        <v>500</v>
      </c>
      <c r="F10">
        <f t="shared" si="0"/>
        <v>7</v>
      </c>
      <c r="G10">
        <f t="shared" si="2"/>
        <v>6200.896666048</v>
      </c>
      <c r="H10">
        <f t="shared" si="1"/>
        <v>124.01793332096</v>
      </c>
    </row>
    <row r="11" spans="1:8">
      <c r="A11" t="s">
        <v>165</v>
      </c>
      <c r="B11">
        <v>470</v>
      </c>
      <c r="C11">
        <v>335</v>
      </c>
      <c r="F11">
        <f t="shared" si="0"/>
        <v>8</v>
      </c>
      <c r="G11">
        <f t="shared" si="2"/>
        <v>6076.8787327270402</v>
      </c>
      <c r="H11">
        <f t="shared" si="1"/>
        <v>121.5375746545408</v>
      </c>
    </row>
    <row r="12" spans="1:8">
      <c r="A12" t="s">
        <v>166</v>
      </c>
      <c r="B12">
        <v>595</v>
      </c>
      <c r="C12">
        <v>425</v>
      </c>
      <c r="F12">
        <f t="shared" si="0"/>
        <v>9</v>
      </c>
      <c r="G12">
        <f t="shared" si="2"/>
        <v>5955.3411580724996</v>
      </c>
      <c r="H12">
        <f t="shared" si="1"/>
        <v>119.10682316145</v>
      </c>
    </row>
    <row r="13" spans="1:8">
      <c r="A13" t="s">
        <v>167</v>
      </c>
      <c r="B13">
        <v>330</v>
      </c>
      <c r="C13">
        <v>235</v>
      </c>
      <c r="F13">
        <f t="shared" si="0"/>
        <v>10</v>
      </c>
      <c r="G13">
        <f t="shared" si="2"/>
        <v>5836.2343349110497</v>
      </c>
      <c r="H13">
        <f t="shared" si="1"/>
        <v>116.72468669822099</v>
      </c>
    </row>
    <row r="14" spans="1:8">
      <c r="F14">
        <f t="shared" si="0"/>
        <v>11</v>
      </c>
      <c r="G14">
        <f t="shared" si="2"/>
        <v>5719.5096482128283</v>
      </c>
      <c r="H14">
        <f t="shared" si="1"/>
        <v>114.39019296425657</v>
      </c>
    </row>
    <row r="15" spans="1:8">
      <c r="A15" t="s">
        <v>170</v>
      </c>
      <c r="B15">
        <f>SUM(B5:B13)</f>
        <v>3955</v>
      </c>
      <c r="C15">
        <f>SUM(C5:C13)</f>
        <v>2830</v>
      </c>
      <c r="E15">
        <f>B15-C15-210</f>
        <v>915</v>
      </c>
      <c r="F15">
        <f t="shared" si="0"/>
        <v>12</v>
      </c>
      <c r="G15">
        <f t="shared" si="2"/>
        <v>5605.1194552485722</v>
      </c>
      <c r="H15">
        <f t="shared" si="1"/>
        <v>112.10238910497145</v>
      </c>
    </row>
    <row r="16" spans="1:8">
      <c r="A16" t="s">
        <v>168</v>
      </c>
      <c r="B16">
        <f>SUM(B5:B8)</f>
        <v>1390</v>
      </c>
      <c r="C16">
        <f>SUM(C5:C8)</f>
        <v>1000</v>
      </c>
      <c r="F16">
        <f t="shared" si="0"/>
        <v>13</v>
      </c>
      <c r="G16">
        <f t="shared" si="2"/>
        <v>5493.0170661436005</v>
      </c>
      <c r="H16">
        <f t="shared" si="1"/>
        <v>109.86034132287202</v>
      </c>
    </row>
    <row r="17" spans="1:8">
      <c r="A17" t="s">
        <v>169</v>
      </c>
      <c r="B17">
        <f>SUM(B9:B13)</f>
        <v>2565</v>
      </c>
      <c r="C17">
        <f>SUM(C9:C13)</f>
        <v>1830</v>
      </c>
      <c r="F17">
        <f t="shared" si="0"/>
        <v>14</v>
      </c>
      <c r="G17">
        <f t="shared" si="2"/>
        <v>5383.1567248207284</v>
      </c>
      <c r="H17">
        <f t="shared" si="1"/>
        <v>107.66313449641457</v>
      </c>
    </row>
    <row r="18" spans="1:8">
      <c r="F18">
        <f t="shared" si="0"/>
        <v>15</v>
      </c>
      <c r="G18">
        <f t="shared" si="2"/>
        <v>5275.493590324314</v>
      </c>
      <c r="H18">
        <f t="shared" si="1"/>
        <v>105.50987180648629</v>
      </c>
    </row>
    <row r="19" spans="1:8">
      <c r="F19">
        <f t="shared" si="0"/>
        <v>16</v>
      </c>
      <c r="G19">
        <f t="shared" si="2"/>
        <v>5169.9837185178276</v>
      </c>
      <c r="H19">
        <f t="shared" si="1"/>
        <v>103.39967437035655</v>
      </c>
    </row>
    <row r="20" spans="1:8">
      <c r="C20">
        <f>1200*4</f>
        <v>4800</v>
      </c>
      <c r="F20">
        <f t="shared" si="0"/>
        <v>17</v>
      </c>
      <c r="G20">
        <f t="shared" si="2"/>
        <v>5066.5840441474711</v>
      </c>
      <c r="H20">
        <f t="shared" si="1"/>
        <v>101.33168088294943</v>
      </c>
    </row>
    <row r="21" spans="1:8">
      <c r="C21">
        <f>C20-B15</f>
        <v>845</v>
      </c>
      <c r="F21">
        <f t="shared" si="0"/>
        <v>18</v>
      </c>
      <c r="G21">
        <f t="shared" si="2"/>
        <v>4965.2523632645216</v>
      </c>
      <c r="H21">
        <f t="shared" si="1"/>
        <v>99.30504726529044</v>
      </c>
    </row>
    <row r="22" spans="1:8">
      <c r="F22">
        <f t="shared" si="0"/>
        <v>19</v>
      </c>
      <c r="G22">
        <f t="shared" si="2"/>
        <v>4865.9473159992313</v>
      </c>
      <c r="H22">
        <f t="shared" si="1"/>
        <v>97.318946319984633</v>
      </c>
    </row>
    <row r="23" spans="1:8">
      <c r="F23">
        <f t="shared" si="0"/>
        <v>20</v>
      </c>
      <c r="G23">
        <f t="shared" si="2"/>
        <v>4768.628369679247</v>
      </c>
      <c r="H23">
        <f t="shared" si="1"/>
        <v>95.372567393584944</v>
      </c>
    </row>
    <row r="24" spans="1:8">
      <c r="F24">
        <f t="shared" si="0"/>
        <v>21</v>
      </c>
      <c r="G24">
        <f t="shared" si="2"/>
        <v>4673.255802285662</v>
      </c>
      <c r="H24">
        <f t="shared" si="1"/>
        <v>93.465116045713245</v>
      </c>
    </row>
    <row r="25" spans="1:8">
      <c r="F25">
        <f t="shared" si="0"/>
        <v>22</v>
      </c>
      <c r="G25">
        <f t="shared" si="2"/>
        <v>4579.7906862399486</v>
      </c>
      <c r="H25">
        <f t="shared" si="1"/>
        <v>91.595813724798973</v>
      </c>
    </row>
    <row r="26" spans="1:8">
      <c r="F26">
        <f t="shared" si="0"/>
        <v>23</v>
      </c>
      <c r="G26">
        <f t="shared" si="2"/>
        <v>4488.1948725151497</v>
      </c>
      <c r="H26">
        <f t="shared" si="1"/>
        <v>89.763897450302991</v>
      </c>
    </row>
    <row r="27" spans="1:8">
      <c r="F27">
        <f t="shared" si="0"/>
        <v>24</v>
      </c>
      <c r="G27">
        <f t="shared" si="2"/>
        <v>4398.4309750648463</v>
      </c>
      <c r="H27">
        <f t="shared" si="1"/>
        <v>87.968619501296928</v>
      </c>
    </row>
    <row r="28" spans="1:8">
      <c r="F28">
        <f t="shared" si="0"/>
        <v>25</v>
      </c>
      <c r="G28">
        <f t="shared" si="2"/>
        <v>4310.462355563549</v>
      </c>
      <c r="H28">
        <f t="shared" si="1"/>
        <v>86.209247111270983</v>
      </c>
    </row>
    <row r="29" spans="1:8">
      <c r="F29">
        <f t="shared" si="0"/>
        <v>26</v>
      </c>
      <c r="G29">
        <f t="shared" si="2"/>
        <v>4224.253108452278</v>
      </c>
      <c r="H29">
        <f t="shared" si="1"/>
        <v>84.485062169045563</v>
      </c>
    </row>
    <row r="30" spans="1:8">
      <c r="B30">
        <v>3</v>
      </c>
      <c r="C30">
        <f>B30/54</f>
        <v>5.5555555555555552E-2</v>
      </c>
      <c r="F30">
        <f t="shared" si="0"/>
        <v>27</v>
      </c>
      <c r="G30">
        <f t="shared" si="2"/>
        <v>4139.7680462832323</v>
      </c>
      <c r="H30">
        <f t="shared" si="1"/>
        <v>82.795360925664653</v>
      </c>
    </row>
    <row r="31" spans="1:8">
      <c r="B31">
        <v>12</v>
      </c>
      <c r="C31">
        <f t="shared" ref="C31:C35" si="3">B31/54</f>
        <v>0.22222222222222221</v>
      </c>
      <c r="F31">
        <f t="shared" si="0"/>
        <v>28</v>
      </c>
      <c r="G31">
        <f t="shared" si="2"/>
        <v>4056.9726853575676</v>
      </c>
      <c r="H31">
        <f t="shared" si="1"/>
        <v>81.139453707151347</v>
      </c>
    </row>
    <row r="32" spans="1:8">
      <c r="B32">
        <v>2</v>
      </c>
      <c r="C32">
        <f t="shared" si="3"/>
        <v>3.7037037037037035E-2</v>
      </c>
      <c r="F32">
        <f t="shared" si="0"/>
        <v>29</v>
      </c>
      <c r="G32">
        <f t="shared" si="2"/>
        <v>3975.8332316504161</v>
      </c>
      <c r="H32">
        <f t="shared" si="1"/>
        <v>79.516664633008318</v>
      </c>
    </row>
    <row r="33" spans="1:8">
      <c r="B33">
        <v>3</v>
      </c>
      <c r="C33">
        <f t="shared" si="3"/>
        <v>5.5555555555555552E-2</v>
      </c>
      <c r="F33">
        <f t="shared" si="0"/>
        <v>30</v>
      </c>
      <c r="G33">
        <f t="shared" si="2"/>
        <v>3896.3165670174076</v>
      </c>
      <c r="H33">
        <f t="shared" si="1"/>
        <v>77.926331340348156</v>
      </c>
    </row>
    <row r="34" spans="1:8">
      <c r="B34">
        <v>6</v>
      </c>
      <c r="C34">
        <f t="shared" si="3"/>
        <v>0.1111111111111111</v>
      </c>
    </row>
    <row r="35" spans="1:8">
      <c r="B35">
        <v>4</v>
      </c>
      <c r="C35">
        <f t="shared" si="3"/>
        <v>7.407407407407407E-2</v>
      </c>
      <c r="G35">
        <f>G33/G4</f>
        <v>0.55661665243105818</v>
      </c>
    </row>
    <row r="36" spans="1:8">
      <c r="B36">
        <v>24</v>
      </c>
      <c r="C36">
        <f>B36/54</f>
        <v>0.44444444444444442</v>
      </c>
    </row>
    <row r="38" spans="1:8">
      <c r="B38">
        <f>SUM(B30:B36)</f>
        <v>54</v>
      </c>
    </row>
    <row r="39" spans="1:8" ht="28.8">
      <c r="A39" s="3" t="s">
        <v>39</v>
      </c>
      <c r="B39" s="97" t="s">
        <v>172</v>
      </c>
      <c r="C39" s="97" t="s">
        <v>173</v>
      </c>
    </row>
    <row r="40" spans="1:8">
      <c r="A40" s="11" t="s">
        <v>67</v>
      </c>
      <c r="B40" s="11">
        <v>1</v>
      </c>
      <c r="C40" s="11">
        <v>18</v>
      </c>
    </row>
    <row r="41" spans="1:8">
      <c r="A41" s="49" t="s">
        <v>68</v>
      </c>
      <c r="B41" s="49">
        <v>2</v>
      </c>
      <c r="C41" s="49">
        <v>12</v>
      </c>
    </row>
    <row r="42" spans="1:8">
      <c r="A42" s="11" t="s">
        <v>69</v>
      </c>
      <c r="B42" s="11">
        <v>1</v>
      </c>
      <c r="C42" s="11">
        <v>5</v>
      </c>
    </row>
    <row r="43" spans="1:8">
      <c r="A43" s="49" t="s">
        <v>70</v>
      </c>
      <c r="B43" s="49">
        <v>2</v>
      </c>
      <c r="C43" s="49">
        <v>13</v>
      </c>
    </row>
    <row r="44" spans="1:8">
      <c r="A44" s="11" t="s">
        <v>71</v>
      </c>
      <c r="B44" s="11">
        <v>1</v>
      </c>
      <c r="C44" s="11">
        <v>15</v>
      </c>
    </row>
    <row r="45" spans="1:8">
      <c r="A45" s="49" t="s">
        <v>72</v>
      </c>
      <c r="B45" s="49">
        <v>2</v>
      </c>
      <c r="C45" s="49">
        <v>19</v>
      </c>
    </row>
    <row r="46" spans="1:8">
      <c r="A46" s="11" t="s">
        <v>73</v>
      </c>
      <c r="B46" s="11">
        <v>1</v>
      </c>
      <c r="C46" s="11">
        <v>16</v>
      </c>
    </row>
    <row r="47" spans="1:8">
      <c r="A47" s="49" t="s">
        <v>74</v>
      </c>
      <c r="B47" s="49">
        <v>2</v>
      </c>
      <c r="C47" s="49">
        <v>15</v>
      </c>
    </row>
    <row r="48" spans="1:8">
      <c r="A48" s="11" t="s">
        <v>75</v>
      </c>
      <c r="B48" s="11">
        <v>1</v>
      </c>
      <c r="C48" s="11">
        <v>14</v>
      </c>
    </row>
    <row r="49" spans="1:3">
      <c r="A49" s="49" t="s">
        <v>76</v>
      </c>
      <c r="B49" s="49">
        <v>2</v>
      </c>
      <c r="C49" s="49">
        <v>13</v>
      </c>
    </row>
    <row r="50" spans="1:3">
      <c r="A50" s="11" t="s">
        <v>77</v>
      </c>
      <c r="B50" s="11">
        <v>1</v>
      </c>
      <c r="C50" s="11">
        <v>2</v>
      </c>
    </row>
    <row r="51" spans="1:3">
      <c r="A51" s="49" t="s">
        <v>78</v>
      </c>
      <c r="B51" s="49">
        <v>2</v>
      </c>
      <c r="C51" s="49">
        <v>14</v>
      </c>
    </row>
    <row r="52" spans="1:3">
      <c r="A52" s="11" t="s">
        <v>79</v>
      </c>
      <c r="B52" s="11">
        <v>1</v>
      </c>
      <c r="C52" s="11">
        <v>18</v>
      </c>
    </row>
    <row r="53" spans="1:3">
      <c r="A53" s="49" t="s">
        <v>80</v>
      </c>
      <c r="B53" s="49">
        <v>2</v>
      </c>
      <c r="C53" s="49">
        <v>7</v>
      </c>
    </row>
    <row r="54" spans="1:3">
      <c r="A54" s="11" t="s">
        <v>81</v>
      </c>
      <c r="B54" s="11">
        <v>1</v>
      </c>
      <c r="C54" s="11">
        <v>6</v>
      </c>
    </row>
    <row r="55" spans="1:3">
      <c r="A55" s="11" t="s">
        <v>102</v>
      </c>
      <c r="B55" s="49">
        <v>2</v>
      </c>
      <c r="C55" s="49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Printz (liver)</vt:lpstr>
      <vt:lpstr>Pravenec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Yinni</dc:creator>
  <cp:lastModifiedBy>Yu, Yinni</cp:lastModifiedBy>
  <cp:lastPrinted>2014-09-18T21:08:31Z</cp:lastPrinted>
  <dcterms:created xsi:type="dcterms:W3CDTF">2014-01-15T22:12:08Z</dcterms:created>
  <dcterms:modified xsi:type="dcterms:W3CDTF">2014-09-24T19:49:58Z</dcterms:modified>
</cp:coreProperties>
</file>