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D:\Load Testing XSET\Load-Testing-XSET\Документация\"/>
    </mc:Choice>
  </mc:AlternateContent>
  <xr:revisionPtr revIDLastSave="0" documentId="13_ncr:1_{C2C1C612-E5B3-4C8B-B6A1-A43467D3C0EE}" xr6:coauthVersionLast="47" xr6:coauthVersionMax="47" xr10:uidLastSave="{00000000-0000-0000-0000-000000000000}"/>
  <bookViews>
    <workbookView xWindow="2400" yWindow="5565" windowWidth="28800" windowHeight="15435" xr2:uid="{00000000-000D-0000-FFFF-FFFF00000000}"/>
  </bookViews>
  <sheets>
    <sheet name="Автоматизированный расчет" sheetId="3" r:id="rId1"/>
    <sheet name="Соответствие" sheetId="4" r:id="rId2"/>
    <sheet name="SummaryReport" sheetId="5" r:id="rId3"/>
    <sheet name="Шаблоны соотвествие профилю" sheetId="2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3" l="1"/>
  <c r="D5" i="3"/>
  <c r="U7" i="3"/>
  <c r="W2" i="3"/>
  <c r="V7" i="3" s="1"/>
  <c r="E4" i="3"/>
  <c r="F4" i="3" s="1"/>
  <c r="D4" i="3"/>
  <c r="D14" i="3"/>
  <c r="E8" i="3"/>
  <c r="F8" i="3" s="1"/>
  <c r="E9" i="3"/>
  <c r="F9" i="3" s="1"/>
  <c r="D9" i="3"/>
  <c r="D8" i="3"/>
  <c r="D23" i="3"/>
  <c r="E23" i="3"/>
  <c r="F23" i="3" s="1"/>
  <c r="C52" i="3"/>
  <c r="H4" i="3" l="1"/>
  <c r="H8" i="3"/>
  <c r="H9" i="3"/>
  <c r="H23" i="3"/>
  <c r="E15" i="3"/>
  <c r="F15" i="3" s="1"/>
  <c r="D15" i="3"/>
  <c r="E18" i="3"/>
  <c r="F18" i="3" s="1"/>
  <c r="D18" i="3"/>
  <c r="E12" i="3"/>
  <c r="F12" i="3" s="1"/>
  <c r="D12" i="3"/>
  <c r="P6" i="3"/>
  <c r="P7" i="3"/>
  <c r="E17" i="3"/>
  <c r="E19" i="3"/>
  <c r="B71" i="3"/>
  <c r="B72" i="3"/>
  <c r="B73" i="3"/>
  <c r="B74" i="3"/>
  <c r="B75" i="3"/>
  <c r="D71" i="3"/>
  <c r="C54" i="3"/>
  <c r="C48" i="3"/>
  <c r="C46" i="3"/>
  <c r="C47" i="3"/>
  <c r="H15" i="3" l="1"/>
  <c r="H12" i="3"/>
  <c r="H18" i="3"/>
  <c r="D48" i="3"/>
  <c r="F71" i="3"/>
  <c r="F48" i="3"/>
  <c r="A3" i="4"/>
  <c r="A4" i="4"/>
  <c r="A5" i="4"/>
  <c r="A6" i="4"/>
  <c r="A7" i="4"/>
  <c r="A8" i="4"/>
  <c r="A9" i="4"/>
  <c r="A10" i="4"/>
  <c r="A11" i="4"/>
  <c r="A12" i="4"/>
  <c r="A13" i="4"/>
  <c r="A2" i="4"/>
  <c r="E57" i="3" s="1"/>
  <c r="G57" i="3" s="1"/>
  <c r="E49" i="3" l="1"/>
  <c r="G49" i="3" s="1"/>
  <c r="E46" i="3"/>
  <c r="G46" i="3" s="1"/>
  <c r="E55" i="3"/>
  <c r="G55" i="3" s="1"/>
  <c r="E50" i="3"/>
  <c r="G50" i="3" s="1"/>
  <c r="E56" i="3"/>
  <c r="G56" i="3" s="1"/>
  <c r="E51" i="3"/>
  <c r="G51" i="3" s="1"/>
  <c r="E47" i="3"/>
  <c r="G47" i="3" s="1"/>
  <c r="E54" i="3"/>
  <c r="G54" i="3" s="1"/>
  <c r="E53" i="3"/>
  <c r="G53" i="3" s="1"/>
  <c r="E52" i="3"/>
  <c r="G52" i="3" s="1"/>
  <c r="E48" i="3"/>
  <c r="G48" i="3" s="1"/>
  <c r="H48" i="3" s="1"/>
  <c r="F17" i="3"/>
  <c r="D17" i="3"/>
  <c r="S7" i="3"/>
  <c r="D72" i="3"/>
  <c r="D73" i="3"/>
  <c r="H73" i="3" s="1"/>
  <c r="D74" i="3"/>
  <c r="H74" i="3" s="1"/>
  <c r="D75" i="3"/>
  <c r="D3" i="3"/>
  <c r="C55" i="3"/>
  <c r="C56" i="3"/>
  <c r="C49" i="3"/>
  <c r="C53" i="3"/>
  <c r="C50" i="3"/>
  <c r="C51" i="3"/>
  <c r="C57" i="3"/>
  <c r="F49" i="3" l="1"/>
  <c r="F57" i="3"/>
  <c r="F47" i="3"/>
  <c r="F55" i="3"/>
  <c r="H55" i="3" s="1"/>
  <c r="F46" i="3"/>
  <c r="F54" i="3"/>
  <c r="H54" i="3" s="1"/>
  <c r="F50" i="3"/>
  <c r="F53" i="3"/>
  <c r="F51" i="3"/>
  <c r="F56" i="3"/>
  <c r="F52" i="3"/>
  <c r="H17" i="3"/>
  <c r="E2" i="3"/>
  <c r="F2" i="3" s="1"/>
  <c r="H2" i="3" s="1"/>
  <c r="H56" i="3"/>
  <c r="E5" i="3"/>
  <c r="F5" i="3" s="1"/>
  <c r="H5" i="3" s="1"/>
  <c r="E3" i="3"/>
  <c r="F3" i="3" s="1"/>
  <c r="H3" i="3" s="1"/>
  <c r="F75" i="3"/>
  <c r="G75" i="3" s="1"/>
  <c r="F73" i="3"/>
  <c r="F74" i="3"/>
  <c r="G71" i="3"/>
  <c r="H71" i="3" s="1"/>
  <c r="I74" i="3"/>
  <c r="F72" i="3"/>
  <c r="G72" i="3" s="1"/>
  <c r="I73" i="3"/>
  <c r="B58" i="3"/>
  <c r="D25" i="3"/>
  <c r="D6" i="3"/>
  <c r="E6" i="3"/>
  <c r="F6" i="3" s="1"/>
  <c r="D11" i="3"/>
  <c r="D30" i="3"/>
  <c r="H75" i="3" l="1"/>
  <c r="I75" i="3" s="1"/>
  <c r="H72" i="3"/>
  <c r="I72" i="3" s="1"/>
  <c r="I71" i="3"/>
  <c r="G76" i="3"/>
  <c r="D55" i="3"/>
  <c r="D46" i="3"/>
  <c r="D56" i="3"/>
  <c r="D57" i="3"/>
  <c r="H6" i="3"/>
  <c r="D31" i="3"/>
  <c r="D33" i="3"/>
  <c r="D32" i="3"/>
  <c r="D34" i="3"/>
  <c r="D7" i="3"/>
  <c r="D10" i="3"/>
  <c r="F19" i="3"/>
  <c r="V3" i="3" l="1"/>
  <c r="P3" i="3"/>
  <c r="E27" i="3" l="1"/>
  <c r="E25" i="3"/>
  <c r="F25" i="3" s="1"/>
  <c r="H25" i="3" s="1"/>
  <c r="P2" i="3"/>
  <c r="P4" i="3"/>
  <c r="P5" i="3"/>
  <c r="E11" i="3" s="1"/>
  <c r="F11" i="3" s="1"/>
  <c r="H11" i="3" s="1"/>
  <c r="D13" i="3"/>
  <c r="D16" i="3"/>
  <c r="D19" i="3"/>
  <c r="V2" i="3"/>
  <c r="S2" i="3"/>
  <c r="U2" i="3" s="1"/>
  <c r="S6" i="3"/>
  <c r="S3" i="3"/>
  <c r="U3" i="3" s="1"/>
  <c r="D27" i="3" s="1"/>
  <c r="S5" i="3" l="1"/>
  <c r="E30" i="3"/>
  <c r="F30" i="3" s="1"/>
  <c r="H30" i="3" s="1"/>
  <c r="S4" i="3"/>
  <c r="U4" i="3" s="1"/>
  <c r="H46" i="3"/>
  <c r="D47" i="3"/>
  <c r="U6" i="3"/>
  <c r="U5" i="3"/>
  <c r="D21" i="3"/>
  <c r="H49" i="3"/>
  <c r="E10" i="3"/>
  <c r="F10" i="3" s="1"/>
  <c r="E34" i="3"/>
  <c r="F34" i="3" s="1"/>
  <c r="D20" i="3"/>
  <c r="D29" i="3"/>
  <c r="D24" i="3"/>
  <c r="D26" i="3"/>
  <c r="D28" i="3"/>
  <c r="D22" i="3"/>
  <c r="E29" i="3"/>
  <c r="F29" i="3" s="1"/>
  <c r="E24" i="3"/>
  <c r="F24" i="3" s="1"/>
  <c r="E33" i="3"/>
  <c r="F33" i="3" s="1"/>
  <c r="E28" i="3"/>
  <c r="F28" i="3" s="1"/>
  <c r="E22" i="3"/>
  <c r="F22" i="3" s="1"/>
  <c r="E7" i="3"/>
  <c r="E14" i="3"/>
  <c r="F14" i="3" s="1"/>
  <c r="E32" i="3"/>
  <c r="E21" i="3"/>
  <c r="F21" i="3" s="1"/>
  <c r="H19" i="3"/>
  <c r="E16" i="3"/>
  <c r="E13" i="3"/>
  <c r="E31" i="3"/>
  <c r="F31" i="3" s="1"/>
  <c r="E26" i="3"/>
  <c r="F26" i="3" s="1"/>
  <c r="E20" i="3"/>
  <c r="F20" i="3" s="1"/>
  <c r="D50" i="3"/>
  <c r="V4" i="3"/>
  <c r="V6" i="3"/>
  <c r="V5" i="3"/>
  <c r="G44" i="2"/>
  <c r="G43" i="2"/>
  <c r="I43" i="2" s="1"/>
  <c r="G42" i="2"/>
  <c r="I42" i="2" s="1"/>
  <c r="G41" i="2"/>
  <c r="G40" i="2"/>
  <c r="G39" i="2"/>
  <c r="I39" i="2" s="1"/>
  <c r="G38" i="2"/>
  <c r="I38" i="2" s="1"/>
  <c r="H32" i="2"/>
  <c r="H31" i="2"/>
  <c r="H30" i="2"/>
  <c r="H29" i="2"/>
  <c r="H28" i="2"/>
  <c r="G32" i="2"/>
  <c r="G31" i="2"/>
  <c r="G30" i="2"/>
  <c r="G29" i="2"/>
  <c r="G28" i="2"/>
  <c r="H27" i="2"/>
  <c r="G27" i="2"/>
  <c r="H26" i="2"/>
  <c r="G26" i="2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F7" i="3" l="1"/>
  <c r="H7" i="3" s="1"/>
  <c r="F13" i="3"/>
  <c r="H13" i="3" s="1"/>
  <c r="F27" i="3"/>
  <c r="H27" i="3" s="1"/>
  <c r="F16" i="3"/>
  <c r="H16" i="3" s="1"/>
  <c r="F32" i="3"/>
  <c r="H32" i="3" s="1"/>
  <c r="C58" i="3"/>
  <c r="H57" i="3" s="1"/>
  <c r="D53" i="3"/>
  <c r="H52" i="3"/>
  <c r="H53" i="3"/>
  <c r="D54" i="3"/>
  <c r="H47" i="3"/>
  <c r="D49" i="3"/>
  <c r="H50" i="3"/>
  <c r="D51" i="3"/>
  <c r="D52" i="3"/>
  <c r="H51" i="3"/>
  <c r="U8" i="3"/>
  <c r="H14" i="3"/>
  <c r="H20" i="3"/>
  <c r="H21" i="3"/>
  <c r="H10" i="3"/>
  <c r="H29" i="3"/>
  <c r="H34" i="3"/>
  <c r="H24" i="3"/>
  <c r="H33" i="3"/>
  <c r="H28" i="3"/>
  <c r="H26" i="3"/>
  <c r="H22" i="3"/>
  <c r="H31" i="3"/>
  <c r="V8" i="3"/>
  <c r="I40" i="2"/>
  <c r="I44" i="2"/>
  <c r="I41" i="2"/>
  <c r="I32" i="2"/>
  <c r="I31" i="2"/>
  <c r="I30" i="2"/>
  <c r="I29" i="2"/>
  <c r="I28" i="2"/>
  <c r="I27" i="2"/>
  <c r="I26" i="2"/>
  <c r="D58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N2" authorId="0" shapeId="0" xr:uid="{00000000-0006-0000-0000-000001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O2" authorId="0" shapeId="0" xr:uid="{00000000-0006-0000-0000-000002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P2" authorId="0" shapeId="0" xr:uid="{00000000-0006-0000-0000-000003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Q2" authorId="0" shapeId="0" xr:uid="{00000000-0006-0000-0000-000004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R2" authorId="0" shapeId="0" xr:uid="{00000000-0006-0000-0000-000005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  <comment ref="N7" authorId="0" shapeId="0" xr:uid="{3909DAB3-239E-471D-9732-CFE664ADD238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</commentList>
</comments>
</file>

<file path=xl/sharedStrings.xml><?xml version="1.0" encoding="utf-8"?>
<sst xmlns="http://schemas.openxmlformats.org/spreadsheetml/2006/main" count="268" uniqueCount="102">
  <si>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</si>
  <si>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</si>
  <si>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</si>
  <si>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</si>
  <si>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</si>
  <si>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</si>
  <si>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</si>
  <si>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</si>
  <si>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</si>
  <si>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</si>
  <si>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</si>
  <si>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</si>
  <si>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</si>
  <si>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</si>
  <si>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</si>
  <si>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</si>
  <si>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</si>
  <si>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</si>
  <si>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</si>
  <si>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</si>
  <si>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</si>
  <si>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</si>
  <si>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</si>
  <si>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</si>
  <si>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</si>
  <si>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</si>
  <si>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</si>
  <si>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</si>
  <si>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</si>
  <si>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</si>
  <si>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Профиль для 5 пользаков</t>
  </si>
  <si>
    <t>1 315,</t>
  </si>
  <si>
    <t>1 970,</t>
  </si>
  <si>
    <t>1 675,</t>
  </si>
  <si>
    <t>Script name</t>
  </si>
  <si>
    <t>transaction rq</t>
  </si>
  <si>
    <t>count</t>
  </si>
  <si>
    <t>Названия строк</t>
  </si>
  <si>
    <t>Общий итог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</si>
  <si>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</si>
  <si>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</si>
  <si>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</si>
  <si>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</si>
  <si>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</si>
  <si>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</si>
  <si>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</si>
  <si>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</si>
  <si>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</si>
  <si>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</si>
  <si>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</si>
  <si>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</si>
  <si>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</si>
  <si>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</si>
  <si>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Duration + Thin_time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</si>
  <si>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</si>
  <si>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</si>
  <si>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</si>
  <si>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</si>
  <si>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</si>
  <si>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</si>
  <si>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Главная Welcome страница</t>
  </si>
  <si>
    <t>Заполнение полей регистарции</t>
  </si>
  <si>
    <t>Перход на страницу регистрации</t>
  </si>
  <si>
    <t>Переход на следуюущий эран после регистарции</t>
  </si>
  <si>
    <t>Покупка билет</t>
  </si>
  <si>
    <t>Логин и логоут</t>
  </si>
  <si>
    <t>Удаление юрони</t>
  </si>
  <si>
    <t>Поиск билета</t>
  </si>
  <si>
    <t>Просмотр текущих бронирований</t>
  </si>
  <si>
    <t>Кол-во в минуту</t>
  </si>
  <si>
    <t>vu</t>
  </si>
  <si>
    <t>мин</t>
  </si>
  <si>
    <t>округл</t>
  </si>
  <si>
    <t>pacing сек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</si>
  <si>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</si>
  <si>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Переход на страницу поиска билетов</t>
  </si>
  <si>
    <t>Название запроса</t>
  </si>
  <si>
    <t>Статистика с ПРОДа</t>
  </si>
  <si>
    <t>Имя в статистике</t>
  </si>
  <si>
    <t>Имя в скрипте</t>
  </si>
  <si>
    <t>No Data</t>
  </si>
  <si>
    <t>ScriptName</t>
  </si>
  <si>
    <t>Операций 20 мин</t>
  </si>
  <si>
    <t>Статистика операций 20 мин</t>
  </si>
  <si>
    <t>openHomePage</t>
  </si>
  <si>
    <t>flightsBottonClick</t>
  </si>
  <si>
    <t>startFindingFlights</t>
  </si>
  <si>
    <t>choseFlightTime</t>
  </si>
  <si>
    <t>paymentDetails</t>
  </si>
  <si>
    <t>browsingItenerary</t>
  </si>
  <si>
    <t>CancelingFlight</t>
  </si>
  <si>
    <t>signUpNowButtonClick</t>
  </si>
  <si>
    <t>newUserRegistration</t>
  </si>
  <si>
    <t>continueButtonClick</t>
  </si>
  <si>
    <t>Action_Transaction</t>
  </si>
  <si>
    <t>UC_01_LoginLogout</t>
  </si>
  <si>
    <t>UC_02_TicketSearchWithoutBuying</t>
  </si>
  <si>
    <t>UC_03_TicketBuying</t>
  </si>
  <si>
    <t>UC_04_ItineraryListBrowsing</t>
  </si>
  <si>
    <t>UC_06_RegistraitionRandomUser</t>
  </si>
  <si>
    <t>UC_07_TicketSearchWithoutBuyingWithFlightSelection</t>
  </si>
  <si>
    <t>UC_05_CancelingFlight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</si>
</sst>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85">
    <xf numFmtId="0" fontId="0" fillId="0" borderId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4" fillId="0" borderId="0"/>
    <xf numFmtId="0" fontId="15" fillId="0" borderId="0" applyNumberForma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6" borderId="6" applyNumberFormat="0" applyAlignment="0" applyProtection="0"/>
    <xf numFmtId="0" fontId="20" fillId="7" borderId="7" applyNumberFormat="0" applyAlignment="0" applyProtection="0"/>
    <xf numFmtId="0" fontId="21" fillId="7" borderId="6" applyNumberFormat="0" applyAlignment="0" applyProtection="0"/>
    <xf numFmtId="0" fontId="22" fillId="0" borderId="8" applyNumberFormat="0" applyFill="0" applyAlignment="0" applyProtection="0"/>
    <xf numFmtId="0" fontId="23" fillId="8" borderId="9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1" fillId="0" borderId="11" applyNumberFormat="0" applyFill="0" applyAlignment="0" applyProtection="0"/>
    <xf numFmtId="0" fontId="26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26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26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26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26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26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9" borderId="10" applyNumberFormat="0" applyFont="0" applyAlignment="0" applyProtection="0"/>
    <xf numFmtId="9" fontId="27" fillId="0" borderId="0" applyFont="0" applyFill="0" applyBorder="0" applyAlignment="0" applyProtection="0"/>
    <xf numFmtId="0" fontId="2" fillId="0" borderId="0"/>
    <xf numFmtId="0" fontId="2" fillId="9" borderId="10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1" fillId="0" borderId="0"/>
    <xf numFmtId="0" fontId="1" fillId="9" borderId="10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102">
    <xf numFmtId="0" fontId="0" fillId="0" borderId="0" xfId="0"/>
    <xf numFmtId="0" fontId="12" fillId="5" borderId="1" xfId="0" applyFont="1" applyFill="1" applyBorder="1" applyAlignment="1">
      <alignment horizontal="center" vertical="top" wrapText="1"/>
    </xf>
    <xf numFmtId="0" fontId="13" fillId="0" borderId="2" xfId="0" applyFont="1" applyBorder="1" applyAlignment="1">
      <alignment horizontal="left" vertical="top" wrapText="1"/>
    </xf>
    <xf numFmtId="0" fontId="11" fillId="0" borderId="2" xfId="4" applyFont="1" applyBorder="1" applyAlignment="1">
      <alignment horizontal="center" vertical="top"/>
    </xf>
    <xf numFmtId="0" fontId="12" fillId="0" borderId="2" xfId="0" applyFont="1" applyBorder="1" applyAlignment="1">
      <alignment horizontal="center" vertical="top"/>
    </xf>
    <xf numFmtId="10" fontId="12" fillId="0" borderId="2" xfId="0" applyNumberFormat="1" applyFont="1" applyBorder="1" applyAlignment="1">
      <alignment horizontal="center" vertical="top"/>
    </xf>
    <xf numFmtId="10" fontId="14" fillId="0" borderId="2" xfId="0" applyNumberFormat="1" applyFont="1" applyBorder="1" applyAlignment="1">
      <alignment horizontal="center" vertical="top"/>
    </xf>
    <xf numFmtId="10" fontId="14" fillId="0" borderId="2" xfId="0" applyNumberFormat="1" applyFont="1" applyBorder="1" applyAlignment="1">
      <alignment horizontal="left" vertical="top"/>
    </xf>
    <xf numFmtId="0" fontId="12" fillId="5" borderId="2" xfId="0" applyFont="1" applyFill="1" applyBorder="1" applyAlignment="1">
      <alignment horizontal="left" vertical="top"/>
    </xf>
    <xf numFmtId="0" fontId="3" fillId="0" borderId="2" xfId="42" applyBorder="1"/>
    <xf numFmtId="0" fontId="12" fillId="0" borderId="2" xfId="0" applyFont="1" applyBorder="1" applyAlignment="1">
      <alignment horizontal="left" vertical="top"/>
    </xf>
    <xf numFmtId="10" fontId="12" fillId="0" borderId="2" xfId="0" applyNumberFormat="1" applyFont="1" applyBorder="1" applyAlignment="1">
      <alignment horizontal="left" vertical="top"/>
    </xf>
    <xf numFmtId="0" fontId="11" fillId="0" borderId="2" xfId="4" applyFont="1" applyBorder="1" applyAlignment="1">
      <alignment horizontal="left" vertical="top"/>
    </xf>
    <xf numFmtId="0" fontId="13" fillId="0" borderId="2" xfId="0" applyFont="1" applyBorder="1" applyAlignment="1">
      <alignment horizontal="left" vertical="top"/>
    </xf>
    <xf numFmtId="0" fontId="3" fillId="0" borderId="0" xfId="42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5" borderId="2" xfId="0" applyFill="1" applyBorder="1"/>
    <xf numFmtId="164" fontId="0" fillId="0" borderId="0" xfId="0" applyNumberFormat="1"/>
    <xf numFmtId="1" fontId="0" fillId="0" borderId="0" xfId="0" applyNumberFormat="1"/>
    <xf numFmtId="0" fontId="28" fillId="0" borderId="0" xfId="0" applyFont="1"/>
    <xf numFmtId="1" fontId="28" fillId="0" borderId="0" xfId="0" applyNumberFormat="1" applyFont="1"/>
    <xf numFmtId="0" fontId="0" fillId="37" borderId="2" xfId="0" applyFill="1" applyBorder="1"/>
    <xf numFmtId="9" fontId="0" fillId="0" borderId="2" xfId="44" applyFont="1" applyBorder="1"/>
    <xf numFmtId="9" fontId="0" fillId="38" borderId="2" xfId="44" applyFont="1" applyFill="1" applyBorder="1"/>
    <xf numFmtId="1" fontId="5" fillId="0" borderId="12" xfId="0" applyNumberFormat="1" applyFont="1" applyBorder="1" applyAlignment="1">
      <alignment horizontal="center" vertical="center" wrapText="1"/>
    </xf>
    <xf numFmtId="1" fontId="0" fillId="0" borderId="13" xfId="0" applyNumberFormat="1" applyBorder="1"/>
    <xf numFmtId="0" fontId="7" fillId="0" borderId="2" xfId="0" applyFont="1" applyBorder="1" applyAlignment="1">
      <alignment vertical="center" wrapText="1"/>
    </xf>
    <xf numFmtId="0" fontId="0" fillId="40" borderId="2" xfId="0" applyFill="1" applyBorder="1"/>
    <xf numFmtId="0" fontId="0" fillId="0" borderId="2" xfId="0" applyFill="1" applyBorder="1"/>
    <xf numFmtId="0" fontId="0" fillId="37" borderId="14" xfId="0" applyFill="1" applyBorder="1"/>
    <xf numFmtId="0" fontId="0" fillId="35" borderId="14" xfId="0" applyFill="1" applyBorder="1"/>
    <xf numFmtId="9" fontId="0" fillId="0" borderId="0" xfId="44" applyFont="1"/>
    <xf numFmtId="0" fontId="0" fillId="0" borderId="0" xfId="0" applyAlignment="1">
      <alignment horizontal="center"/>
    </xf>
    <xf numFmtId="165" fontId="0" fillId="41" borderId="2" xfId="0" applyNumberFormat="1" applyFill="1" applyBorder="1"/>
    <xf numFmtId="165" fontId="0" fillId="41" borderId="2" xfId="0" quotePrefix="1" applyNumberFormat="1" applyFill="1" applyBorder="1"/>
    <xf numFmtId="0" fontId="0" fillId="0" borderId="0" xfId="0" applyFont="1"/>
    <xf numFmtId="9" fontId="0" fillId="0" borderId="0" xfId="0" applyNumberFormat="1" applyFont="1"/>
    <xf numFmtId="1" fontId="0" fillId="35" borderId="2" xfId="0" applyNumberFormat="1" applyFill="1" applyBorder="1"/>
    <xf numFmtId="0" fontId="7" fillId="0" borderId="12" xfId="0" applyFont="1" applyBorder="1" applyAlignment="1">
      <alignment vertical="center" wrapText="1"/>
    </xf>
    <xf numFmtId="0" fontId="7" fillId="39" borderId="17" xfId="0" applyFont="1" applyFill="1" applyBorder="1" applyAlignment="1">
      <alignment vertical="center" wrapText="1"/>
    </xf>
    <xf numFmtId="0" fontId="7" fillId="39" borderId="18" xfId="0" applyFont="1" applyFill="1" applyBorder="1" applyAlignment="1">
      <alignment vertical="center" wrapText="1"/>
    </xf>
    <xf numFmtId="0" fontId="5" fillId="39" borderId="18" xfId="0" applyFont="1" applyFill="1" applyBorder="1" applyAlignment="1">
      <alignment horizontal="center" vertical="center" wrapText="1"/>
    </xf>
    <xf numFmtId="0" fontId="5" fillId="39" borderId="17" xfId="0" applyFont="1" applyFill="1" applyBorder="1" applyAlignment="1">
      <alignment horizontal="left" vertical="center" wrapText="1"/>
    </xf>
    <xf numFmtId="0" fontId="6" fillId="39" borderId="19" xfId="0" applyFont="1" applyFill="1" applyBorder="1" applyAlignment="1">
      <alignment horizontal="left" vertical="center" wrapText="1"/>
    </xf>
    <xf numFmtId="0" fontId="5" fillId="39" borderId="20" xfId="0" applyFont="1" applyFill="1" applyBorder="1" applyAlignment="1">
      <alignment horizontal="center" vertical="center" wrapText="1"/>
    </xf>
    <xf numFmtId="165" fontId="0" fillId="35" borderId="0" xfId="0" applyNumberFormat="1" applyFill="1"/>
    <xf numFmtId="1" fontId="0" fillId="35" borderId="2" xfId="0" quotePrefix="1" applyNumberFormat="1" applyFill="1" applyBorder="1"/>
    <xf numFmtId="1" fontId="0" fillId="41" borderId="2" xfId="0" applyNumberFormat="1" applyFill="1" applyBorder="1"/>
    <xf numFmtId="0" fontId="0" fillId="40" borderId="0" xfId="0" applyFill="1"/>
    <xf numFmtId="0" fontId="0" fillId="0" borderId="21" xfId="0" applyBorder="1"/>
    <xf numFmtId="0" fontId="0" fillId="0" borderId="22" xfId="0" applyBorder="1"/>
    <xf numFmtId="0" fontId="0" fillId="0" borderId="23" xfId="0" applyBorder="1"/>
    <xf numFmtId="9" fontId="0" fillId="0" borderId="24" xfId="44" applyFont="1" applyBorder="1"/>
    <xf numFmtId="0" fontId="0" fillId="0" borderId="12" xfId="0" applyBorder="1"/>
    <xf numFmtId="0" fontId="7" fillId="0" borderId="24" xfId="0" applyFont="1" applyBorder="1" applyAlignment="1">
      <alignment vertical="center" wrapText="1"/>
    </xf>
    <xf numFmtId="9" fontId="0" fillId="0" borderId="25" xfId="44" applyFont="1" applyBorder="1"/>
    <xf numFmtId="0" fontId="7" fillId="0" borderId="12" xfId="0" applyFont="1" applyBorder="1" applyAlignment="1">
      <alignment wrapText="1"/>
    </xf>
    <xf numFmtId="1" fontId="0" fillId="36" borderId="2" xfId="0" applyNumberFormat="1" applyFill="1" applyBorder="1"/>
    <xf numFmtId="0" fontId="0" fillId="40" borderId="24" xfId="0" applyFill="1" applyBorder="1"/>
    <xf numFmtId="0" fontId="0" fillId="0" borderId="0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40" borderId="29" xfId="0" applyFill="1" applyBorder="1"/>
    <xf numFmtId="0" fontId="0" fillId="40" borderId="30" xfId="0" applyFill="1" applyBorder="1"/>
    <xf numFmtId="0" fontId="0" fillId="40" borderId="31" xfId="0" applyFill="1" applyBorder="1"/>
    <xf numFmtId="0" fontId="0" fillId="40" borderId="32" xfId="0" applyFill="1" applyBorder="1"/>
    <xf numFmtId="0" fontId="0" fillId="40" borderId="33" xfId="0" applyFill="1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2" fontId="0" fillId="0" borderId="0" xfId="0" applyNumberFormat="1" applyBorder="1"/>
    <xf numFmtId="2" fontId="0" fillId="0" borderId="37" xfId="0" applyNumberFormat="1" applyBorder="1"/>
    <xf numFmtId="1" fontId="0" fillId="0" borderId="23" xfId="0" applyNumberFormat="1" applyBorder="1"/>
    <xf numFmtId="1" fontId="0" fillId="0" borderId="21" xfId="0" applyNumberFormat="1" applyBorder="1"/>
    <xf numFmtId="2" fontId="0" fillId="0" borderId="38" xfId="0" applyNumberFormat="1" applyBorder="1"/>
    <xf numFmtId="1" fontId="0" fillId="0" borderId="22" xfId="0" applyNumberFormat="1" applyBorder="1"/>
    <xf numFmtId="1" fontId="0" fillId="0" borderId="34" xfId="0" applyNumberFormat="1" applyBorder="1"/>
    <xf numFmtId="1" fontId="0" fillId="0" borderId="35" xfId="0" applyNumberFormat="1" applyBorder="1"/>
    <xf numFmtId="1" fontId="0" fillId="0" borderId="36" xfId="0" applyNumberFormat="1" applyBorder="1"/>
    <xf numFmtId="0" fontId="0" fillId="40" borderId="39" xfId="0" applyFill="1" applyBorder="1"/>
    <xf numFmtId="0" fontId="0" fillId="40" borderId="40" xfId="0" applyFill="1" applyBorder="1"/>
    <xf numFmtId="0" fontId="0" fillId="40" borderId="12" xfId="0" applyFill="1" applyBorder="1"/>
    <xf numFmtId="0" fontId="0" fillId="40" borderId="41" xfId="0" applyFill="1" applyBorder="1"/>
    <xf numFmtId="0" fontId="0" fillId="40" borderId="42" xfId="0" applyFill="1" applyBorder="1"/>
    <xf numFmtId="0" fontId="0" fillId="40" borderId="43" xfId="0" applyFill="1" applyBorder="1"/>
    <xf numFmtId="0" fontId="0" fillId="40" borderId="44" xfId="0" applyFill="1" applyBorder="1"/>
    <xf numFmtId="0" fontId="2" fillId="0" borderId="0" xfId="45"/>
    <xf numFmtId="0" fontId="2" fillId="0" borderId="0" xfId="45"/>
    <xf numFmtId="0" fontId="0" fillId="40" borderId="45" xfId="0" applyFill="1" applyBorder="1"/>
    <xf numFmtId="0" fontId="0" fillId="40" borderId="13" xfId="0" applyFill="1" applyBorder="1"/>
    <xf numFmtId="0" fontId="0" fillId="40" borderId="46" xfId="0" applyFill="1" applyBorder="1"/>
    <xf numFmtId="0" fontId="0" fillId="40" borderId="47" xfId="0" applyFill="1" applyBorder="1"/>
    <xf numFmtId="0" fontId="0" fillId="40" borderId="28" xfId="0" applyFill="1" applyBorder="1"/>
    <xf numFmtId="0" fontId="0" fillId="41" borderId="15" xfId="0" applyFill="1" applyBorder="1" applyAlignment="1">
      <alignment horizontal="center"/>
    </xf>
    <xf numFmtId="0" fontId="0" fillId="41" borderId="16" xfId="0" applyFill="1" applyBorder="1" applyAlignment="1">
      <alignment horizontal="center"/>
    </xf>
    <xf numFmtId="0" fontId="0" fillId="34" borderId="0" xfId="0" applyFill="1" applyAlignment="1">
      <alignment horizontal="center"/>
    </xf>
    <xf numFmtId="0" fontId="1" fillId="0" borderId="0" xfId="65"/>
  </cellXfs>
  <cellStyles count="85">
    <cellStyle name="20% — акцент1" xfId="19" builtinId="30" customBuiltin="1"/>
    <cellStyle name="20% — акцент1 2" xfId="47" xr:uid="{F44FD7A3-72FF-408E-9967-0215D42D396B}"/>
    <cellStyle name="20% — акцент1 3" xfId="67" xr:uid="{16682FBC-5F87-4B2F-92B8-B0E5D6A87C78}"/>
    <cellStyle name="20% — акцент2" xfId="23" builtinId="34" customBuiltin="1"/>
    <cellStyle name="20% — акцент2 2" xfId="50" xr:uid="{6349BABE-FFBC-467A-BE14-71DCBC136802}"/>
    <cellStyle name="20% — акцент2 3" xfId="70" xr:uid="{2382BD5C-BF30-47EF-AA40-8D35449753D4}"/>
    <cellStyle name="20% — акцент3" xfId="27" builtinId="38" customBuiltin="1"/>
    <cellStyle name="20% — акцент3 2" xfId="53" xr:uid="{9D773B97-1B74-460C-85FC-DCFEAA2BFC1C}"/>
    <cellStyle name="20% — акцент3 3" xfId="73" xr:uid="{8177714E-4541-494C-B5E6-9F42837C055C}"/>
    <cellStyle name="20% — акцент4" xfId="31" builtinId="42" customBuiltin="1"/>
    <cellStyle name="20% — акцент4 2" xfId="56" xr:uid="{EEBD1F89-38B6-47D5-BE2A-380DA7FA60ED}"/>
    <cellStyle name="20% — акцент4 3" xfId="76" xr:uid="{35DD3A36-8357-42F9-AB83-99D23020AAC4}"/>
    <cellStyle name="20% — акцент5" xfId="35" builtinId="46" customBuiltin="1"/>
    <cellStyle name="20% — акцент5 2" xfId="59" xr:uid="{719F1B75-554B-43BC-B524-393C5D16B30B}"/>
    <cellStyle name="20% — акцент5 3" xfId="79" xr:uid="{7251E309-D4DC-4851-AE6C-8C60534D578F}"/>
    <cellStyle name="20% — акцент6" xfId="39" builtinId="50" customBuiltin="1"/>
    <cellStyle name="20% — акцент6 2" xfId="62" xr:uid="{91C95339-8876-4D3B-BC85-03A64033363C}"/>
    <cellStyle name="20% — акцент6 3" xfId="82" xr:uid="{3A801C7F-41CD-4879-BD3A-9EEF0E88A01C}"/>
    <cellStyle name="40% — акцент1" xfId="20" builtinId="31" customBuiltin="1"/>
    <cellStyle name="40% — акцент1 2" xfId="48" xr:uid="{F463C6A9-8D10-4250-AD06-2607BD3F04D7}"/>
    <cellStyle name="40% — акцент1 3" xfId="68" xr:uid="{46FEDDD2-AB5F-47CF-A41B-B74863A01B37}"/>
    <cellStyle name="40% — акцент2" xfId="24" builtinId="35" customBuiltin="1"/>
    <cellStyle name="40% — акцент2 2" xfId="51" xr:uid="{8009DAF8-D0A4-4BA0-8D97-43866B1E0991}"/>
    <cellStyle name="40% — акцент2 3" xfId="71" xr:uid="{E6C2B769-62A7-4691-AB86-F184D03D030F}"/>
    <cellStyle name="40% — акцент3" xfId="28" builtinId="39" customBuiltin="1"/>
    <cellStyle name="40% — акцент3 2" xfId="54" xr:uid="{49DF952F-5BF3-4E48-80C1-533182A3BBCA}"/>
    <cellStyle name="40% — акцент3 3" xfId="74" xr:uid="{EA373F07-4AE7-4101-9182-5ED85DC7D0CC}"/>
    <cellStyle name="40% — акцент4" xfId="32" builtinId="43" customBuiltin="1"/>
    <cellStyle name="40% — акцент4 2" xfId="57" xr:uid="{CE14BDD2-FDB5-414C-9223-13D63594A31C}"/>
    <cellStyle name="40% — акцент4 3" xfId="77" xr:uid="{866EFCC4-88D9-4729-82DC-3A533FBA0FB4}"/>
    <cellStyle name="40% — акцент5" xfId="36" builtinId="47" customBuiltin="1"/>
    <cellStyle name="40% — акцент5 2" xfId="60" xr:uid="{FF8F7B44-76E4-44D5-9FE2-963D888AA13C}"/>
    <cellStyle name="40% — акцент5 3" xfId="80" xr:uid="{EFE68B30-C36A-4B7A-99D5-DFC153E3B154}"/>
    <cellStyle name="40% — акцент6" xfId="40" builtinId="51" customBuiltin="1"/>
    <cellStyle name="40% — акцент6 2" xfId="63" xr:uid="{E9D145D3-52DE-4CFB-9FF4-5B6C4E1C3E56}"/>
    <cellStyle name="40% — акцент6 3" xfId="83" xr:uid="{0EEC1F1F-06A1-47B0-8B56-F1C7AD55AAED}"/>
    <cellStyle name="60% — акцент1" xfId="21" builtinId="32" customBuiltin="1"/>
    <cellStyle name="60% — акцент1 2" xfId="49" xr:uid="{A4EA0244-1421-42E4-B5BF-CEA3B5F53A7D}"/>
    <cellStyle name="60% — акцент1 3" xfId="69" xr:uid="{A08D2FBA-BA90-420E-8306-F3EC7554E2A4}"/>
    <cellStyle name="60% — акцент2" xfId="25" builtinId="36" customBuiltin="1"/>
    <cellStyle name="60% — акцент2 2" xfId="52" xr:uid="{F0DEA516-24F3-4A59-9545-CF5EAA8E3938}"/>
    <cellStyle name="60% — акцент2 3" xfId="72" xr:uid="{220505E9-EBC5-4DBD-BED4-D98A5D718F7D}"/>
    <cellStyle name="60% — акцент3" xfId="29" builtinId="40" customBuiltin="1"/>
    <cellStyle name="60% — акцент3 2" xfId="55" xr:uid="{B0163539-3F6D-4BA1-92A3-F9CF55C19644}"/>
    <cellStyle name="60% — акцент3 3" xfId="75" xr:uid="{5F205D85-97CD-459B-97B6-09022DAEB282}"/>
    <cellStyle name="60% — акцент4" xfId="33" builtinId="44" customBuiltin="1"/>
    <cellStyle name="60% — акцент4 2" xfId="58" xr:uid="{60971F2D-DA87-4111-94DE-A7B024E7C1DE}"/>
    <cellStyle name="60% — акцент4 3" xfId="78" xr:uid="{EA8D9883-F7C2-416A-AF48-6262506F02AC}"/>
    <cellStyle name="60% — акцент5" xfId="37" builtinId="48" customBuiltin="1"/>
    <cellStyle name="60% — акцент5 2" xfId="61" xr:uid="{591BD263-5BC7-475C-9E71-F5E970F14465}"/>
    <cellStyle name="60% — акцент5 3" xfId="81" xr:uid="{C19B4866-2682-4BFB-8F76-BD8C7A5CA5C8}"/>
    <cellStyle name="60% — акцент6" xfId="41" builtinId="52" customBuiltin="1"/>
    <cellStyle name="60% — акцент6 2" xfId="64" xr:uid="{40F6BE47-AFA5-4389-B0E1-23122C850AE3}"/>
    <cellStyle name="60% — акцент6 3" xfId="84" xr:uid="{1171B724-2720-4B4F-9B60-F7BA007C145F}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Обычный" xfId="0" builtinId="0"/>
    <cellStyle name="Обычный 2" xfId="4" xr:uid="{00000000-0005-0000-0000-000024000000}"/>
    <cellStyle name="Обычный 3" xfId="42" xr:uid="{00000000-0005-0000-0000-000025000000}"/>
    <cellStyle name="Обычный 4" xfId="45" xr:uid="{239778F4-79A0-43E6-A1B9-44DCDB8C5FB1}"/>
    <cellStyle name="Обычный 5" xfId="65" xr:uid="{DA3F2F69-A75C-4CBE-9FA9-2FB8EDB25ECA}"/>
    <cellStyle name="Плохой" xfId="2" builtinId="27" customBuiltin="1"/>
    <cellStyle name="Пояснение" xfId="16" builtinId="53" customBuiltin="1"/>
    <cellStyle name="Примечание 2" xfId="43" xr:uid="{00000000-0005-0000-0000-000028000000}"/>
    <cellStyle name="Примечание 3" xfId="46" xr:uid="{3589E41F-034C-46EA-892E-9F488DD47175}"/>
    <cellStyle name="Примечание 4" xfId="66" xr:uid="{76AB1714-41A9-4B82-BECB-778F4BD0EC48}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xim Mironov" refreshedDate="44813.516496875003" createdVersion="7" refreshedVersion="7" minRefreshableVersion="3" recordCount="33" xr:uid="{76EFCDFD-5879-48D0-B2C0-8203517F41CC}">
  <cacheSource type="worksheet">
    <worksheetSource ref="A1:H34" sheet="Автоматизированный расчет"/>
  </cacheSource>
  <cacheFields count="8">
    <cacheField name="Script name" numFmtId="0">
      <sharedItems/>
    </cacheField>
    <cacheField name="transaction rq" numFmtId="0">
      <sharedItems count="12">
        <s v="Главная Welcome страница"/>
        <s v="Вход в систему"/>
        <s v="Просмотр квитанций"/>
        <s v="Выход из системы"/>
        <s v="Переход на страницу поиска билетов"/>
        <s v="Заполнение полей для поиска билета "/>
        <s v="Выбор рейса из найденных "/>
        <s v="Оплата билета"/>
        <s v="Отмена бронирования "/>
        <s v="Перход на страницу регистрации"/>
        <s v="Заполнение полей регистарции"/>
        <s v="Переход на следуюущий эран после регистарции"/>
      </sharedItems>
    </cacheField>
    <cacheField name="count" numFmtId="0">
      <sharedItems containsSemiMixedTypes="0" containsString="0" containsNumber="1" containsInteger="1" minValue="0" maxValue="1"/>
    </cacheField>
    <cacheField name="VU" numFmtId="0">
      <sharedItems containsSemiMixedTypes="0" containsString="0" containsNumber="1" containsInteger="1" minValue="1" maxValue="3"/>
    </cacheField>
    <cacheField name="pacing" numFmtId="0">
      <sharedItems containsSemiMixedTypes="0" containsString="0" containsNumber="1" containsInteger="1" minValue="37" maxValue="190"/>
    </cacheField>
    <cacheField name="одним пользователем в минуту" numFmtId="2">
      <sharedItems containsSemiMixedTypes="0" containsString="0" containsNumber="1" minValue="0" maxValue="1.6216216216216217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0" maxValue="58.0645161290322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s v="UC_01_LoginLogout"/>
    <x v="0"/>
    <n v="1"/>
    <n v="2"/>
    <n v="170"/>
    <n v="0.35294117647058826"/>
    <n v="20"/>
    <n v="14.117647058823531"/>
  </r>
  <r>
    <s v="UC_01_LoginLogout"/>
    <x v="1"/>
    <n v="1"/>
    <n v="2"/>
    <n v="170"/>
    <n v="0.35294117647058826"/>
    <n v="20"/>
    <n v="14.117647058823531"/>
  </r>
  <r>
    <s v="UC_01_LoginLogout"/>
    <x v="2"/>
    <n v="1"/>
    <n v="2"/>
    <n v="170"/>
    <n v="0.35294117647058826"/>
    <n v="20"/>
    <n v="14.117647058823531"/>
  </r>
  <r>
    <s v="UC_01_LoginLogout"/>
    <x v="3"/>
    <n v="1"/>
    <n v="2"/>
    <n v="170"/>
    <n v="0.35294117647058826"/>
    <n v="20"/>
    <n v="14.117647058823531"/>
  </r>
  <r>
    <s v="UC_02_TicketSearchWithoutBuying"/>
    <x v="0"/>
    <n v="1"/>
    <n v="1"/>
    <n v="190"/>
    <n v="0.31578947368421051"/>
    <n v="20"/>
    <n v="6.3157894736842106"/>
  </r>
  <r>
    <s v="UC_02_TicketSearchWithoutBuying"/>
    <x v="1"/>
    <n v="1"/>
    <n v="1"/>
    <n v="190"/>
    <n v="0.31578947368421051"/>
    <n v="20"/>
    <n v="6.3157894736842106"/>
  </r>
  <r>
    <s v="UC_02_TicketSearchWithoutBuying"/>
    <x v="4"/>
    <n v="1"/>
    <n v="1"/>
    <n v="190"/>
    <n v="0.31578947368421051"/>
    <n v="20"/>
    <n v="6.3157894736842106"/>
  </r>
  <r>
    <s v="UC_02_TicketSearchWithoutBuying"/>
    <x v="5"/>
    <n v="1"/>
    <n v="1"/>
    <n v="190"/>
    <n v="0.31578947368421051"/>
    <n v="20"/>
    <n v="6.3157894736842106"/>
  </r>
  <r>
    <s v="UC_02_TicketSearchWithoutBuying"/>
    <x v="3"/>
    <n v="0"/>
    <n v="1"/>
    <n v="190"/>
    <n v="0"/>
    <n v="20"/>
    <n v="0"/>
  </r>
  <r>
    <s v="UC_07_TicketSearchWithoutBuyingWithFlightSelection"/>
    <x v="0"/>
    <n v="1"/>
    <n v="2"/>
    <n v="71"/>
    <n v="0.84507042253521125"/>
    <n v="20"/>
    <n v="33.802816901408448"/>
  </r>
  <r>
    <s v="UC_07_TicketSearchWithoutBuyingWithFlightSelection"/>
    <x v="1"/>
    <n v="1"/>
    <n v="2"/>
    <n v="71"/>
    <n v="0.84507042253521125"/>
    <n v="20"/>
    <n v="33.802816901408448"/>
  </r>
  <r>
    <s v="UC_07_TicketSearchWithoutBuyingWithFlightSelection"/>
    <x v="4"/>
    <n v="1"/>
    <n v="2"/>
    <n v="71"/>
    <n v="0.84507042253521125"/>
    <n v="20"/>
    <n v="33.802816901408448"/>
  </r>
  <r>
    <s v="UC_07_TicketSearchWithoutBuyingWithFlightSelection"/>
    <x v="5"/>
    <n v="1"/>
    <n v="2"/>
    <n v="71"/>
    <n v="0.84507042253521125"/>
    <n v="20"/>
    <n v="33.802816901408448"/>
  </r>
  <r>
    <s v="UC_07_TicketSearchWithoutBuyingWithFlightSelection"/>
    <x v="6"/>
    <n v="1"/>
    <n v="2"/>
    <n v="71"/>
    <n v="0.84507042253521125"/>
    <n v="20"/>
    <n v="33.802816901408448"/>
  </r>
  <r>
    <s v="UC_07_TicketSearchWithoutBuyingWithFlightSelection"/>
    <x v="3"/>
    <n v="1"/>
    <n v="2"/>
    <n v="71"/>
    <n v="0.84507042253521125"/>
    <n v="20"/>
    <n v="33.802816901408448"/>
  </r>
  <r>
    <s v="UC_03_TicketBuying"/>
    <x v="0"/>
    <n v="1"/>
    <n v="3"/>
    <n v="62"/>
    <n v="0.967741935483871"/>
    <n v="20"/>
    <n v="58.064516129032256"/>
  </r>
  <r>
    <s v="UC_03_TicketBuying"/>
    <x v="4"/>
    <n v="1"/>
    <n v="3"/>
    <n v="62"/>
    <n v="0.967741935483871"/>
    <n v="20"/>
    <n v="58.064516129032256"/>
  </r>
  <r>
    <s v="UC_03_TicketBuying"/>
    <x v="1"/>
    <n v="1"/>
    <n v="3"/>
    <n v="62"/>
    <n v="0.967741935483871"/>
    <n v="20"/>
    <n v="58.064516129032256"/>
  </r>
  <r>
    <s v="UC_03_TicketBuying"/>
    <x v="5"/>
    <n v="1"/>
    <n v="3"/>
    <n v="62"/>
    <n v="0.967741935483871"/>
    <n v="20"/>
    <n v="58.064516129032256"/>
  </r>
  <r>
    <s v="UC_03_TicketBuying"/>
    <x v="6"/>
    <n v="1"/>
    <n v="3"/>
    <n v="62"/>
    <n v="0.967741935483871"/>
    <n v="20"/>
    <n v="58.064516129032256"/>
  </r>
  <r>
    <s v="UC_03_TicketBuying"/>
    <x v="7"/>
    <n v="1"/>
    <n v="3"/>
    <n v="62"/>
    <n v="0.967741935483871"/>
    <n v="20"/>
    <n v="58.064516129032256"/>
  </r>
  <r>
    <s v="UC_03_TicketBuying"/>
    <x v="2"/>
    <n v="1"/>
    <n v="3"/>
    <n v="62"/>
    <n v="0.967741935483871"/>
    <n v="20"/>
    <n v="58.064516129032256"/>
  </r>
  <r>
    <s v="UC_03_TicketBuying"/>
    <x v="3"/>
    <n v="1"/>
    <n v="3"/>
    <n v="62"/>
    <n v="0.967741935483871"/>
    <n v="20"/>
    <n v="58.064516129032256"/>
  </r>
  <r>
    <s v="UC_05_CancelingFlight"/>
    <x v="0"/>
    <n v="1"/>
    <n v="1"/>
    <n v="50"/>
    <n v="1.2"/>
    <n v="20"/>
    <n v="24"/>
  </r>
  <r>
    <s v="UC_05_CancelingFlight"/>
    <x v="1"/>
    <n v="1"/>
    <n v="1"/>
    <n v="50"/>
    <n v="1.2"/>
    <n v="20"/>
    <n v="24"/>
  </r>
  <r>
    <s v="UC_05_CancelingFlight"/>
    <x v="2"/>
    <n v="1"/>
    <n v="1"/>
    <n v="50"/>
    <n v="1.2"/>
    <n v="20"/>
    <n v="24"/>
  </r>
  <r>
    <s v="UC_05_CancelingFlight"/>
    <x v="8"/>
    <n v="1"/>
    <n v="1"/>
    <n v="50"/>
    <n v="1.2"/>
    <n v="20"/>
    <n v="24"/>
  </r>
  <r>
    <s v="UC_05_CancelingFlight"/>
    <x v="3"/>
    <n v="0"/>
    <n v="1"/>
    <n v="50"/>
    <n v="0"/>
    <n v="20"/>
    <n v="0"/>
  </r>
  <r>
    <s v="UC_06_RegistraitionRandomUser"/>
    <x v="0"/>
    <n v="1"/>
    <n v="1"/>
    <n v="37"/>
    <n v="1.6216216216216217"/>
    <n v="20"/>
    <n v="32.432432432432435"/>
  </r>
  <r>
    <s v="UC_06_RegistraitionRandomUser"/>
    <x v="9"/>
    <n v="1"/>
    <n v="1"/>
    <n v="37"/>
    <n v="1.6216216216216217"/>
    <n v="20"/>
    <n v="32.432432432432435"/>
  </r>
  <r>
    <s v="UC_06_RegistraitionRandomUser"/>
    <x v="10"/>
    <n v="1"/>
    <n v="1"/>
    <n v="37"/>
    <n v="1.6216216216216217"/>
    <n v="20"/>
    <n v="32.432432432432435"/>
  </r>
  <r>
    <s v="UC_06_RegistraitionRandomUser"/>
    <x v="11"/>
    <n v="1"/>
    <n v="1"/>
    <n v="37"/>
    <n v="1.6216216216216217"/>
    <n v="20"/>
    <n v="32.432432432432435"/>
  </r>
  <r>
    <s v="UC_06_RegistraitionRandomUser"/>
    <x v="3"/>
    <n v="0"/>
    <n v="1"/>
    <n v="37"/>
    <n v="0"/>
    <n v="2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643BEB-4779-41B8-9BFF-92E95EAAF14B}" name="Сводная таблица2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6" indent="0" outline="1" outlineData="1" multipleFieldFilters="0">
  <location ref="I1:J14" firstHeaderRow="1" firstDataRow="1" firstDataCol="1"/>
  <pivotFields count="8">
    <pivotField showAll="0"/>
    <pivotField axis="axisRow" showAll="0">
      <items count="13">
        <item x="1"/>
        <item x="6"/>
        <item x="3"/>
        <item x="5"/>
        <item x="7"/>
        <item x="8"/>
        <item x="2"/>
        <item x="0"/>
        <item x="9"/>
        <item x="10"/>
        <item x="11"/>
        <item x="4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Сумма по полю Итого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6"/>
  <sheetViews>
    <sheetView tabSelected="1" topLeftCell="A34" zoomScale="85" zoomScaleNormal="85" workbookViewId="0">
      <selection activeCell="I54" sqref="I54"/>
    </sheetView>
  </sheetViews>
  <sheetFormatPr defaultColWidth="11.42578125" defaultRowHeight="15" x14ac:dyDescent="0.25"/>
  <cols>
    <col min="1" max="1" width="55.28515625" customWidth="1"/>
    <col min="2" max="2" width="52.140625" customWidth="1"/>
    <col min="3" max="3" width="18.140625" customWidth="1"/>
    <col min="4" max="4" width="17.85546875" customWidth="1"/>
    <col min="5" max="5" width="19.140625" bestFit="1" customWidth="1"/>
    <col min="6" max="6" width="22" customWidth="1"/>
    <col min="7" max="7" width="18.7109375" bestFit="1" customWidth="1"/>
    <col min="8" max="8" width="17" customWidth="1"/>
    <col min="9" max="9" width="47.42578125" bestFit="1" customWidth="1"/>
    <col min="10" max="10" width="21.5703125" bestFit="1" customWidth="1"/>
    <col min="11" max="11" width="18.7109375" customWidth="1"/>
    <col min="12" max="12" width="27.42578125" bestFit="1" customWidth="1"/>
    <col min="13" max="13" width="47.85546875" customWidth="1"/>
    <col min="16" max="16" width="19.85546875" bestFit="1" customWidth="1"/>
    <col min="19" max="19" width="44" bestFit="1" customWidth="1"/>
  </cols>
  <sheetData>
    <row r="1" spans="1:24" ht="15.75" thickBot="1" x14ac:dyDescent="0.3">
      <c r="A1" t="s">
        <v>34</v>
      </c>
      <c r="B1" t="s">
        <v>35</v>
      </c>
      <c r="C1" t="s">
        <v>36</v>
      </c>
      <c r="D1" t="s">
        <v>40</v>
      </c>
      <c r="E1" t="s">
        <v>50</v>
      </c>
      <c r="F1" t="s">
        <v>51</v>
      </c>
      <c r="G1" t="s">
        <v>52</v>
      </c>
      <c r="H1" t="s">
        <v>7</v>
      </c>
      <c r="I1" s="16" t="s">
        <v>37</v>
      </c>
      <c r="J1" t="s">
        <v>49</v>
      </c>
      <c r="M1" t="s">
        <v>39</v>
      </c>
      <c r="N1" t="s">
        <v>41</v>
      </c>
      <c r="O1" t="s">
        <v>42</v>
      </c>
      <c r="P1" t="s">
        <v>53</v>
      </c>
      <c r="Q1" t="s">
        <v>43</v>
      </c>
      <c r="R1" t="s">
        <v>40</v>
      </c>
      <c r="S1" t="s">
        <v>44</v>
      </c>
      <c r="T1" s="21" t="s">
        <v>45</v>
      </c>
      <c r="U1" s="21" t="s">
        <v>46</v>
      </c>
      <c r="V1" s="37" t="s">
        <v>47</v>
      </c>
      <c r="X1" t="s">
        <v>48</v>
      </c>
    </row>
    <row r="2" spans="1:24" x14ac:dyDescent="0.25">
      <c r="A2" s="88" t="s">
        <v>95</v>
      </c>
      <c r="B2" s="85" t="s">
        <v>60</v>
      </c>
      <c r="C2" s="67">
        <v>1</v>
      </c>
      <c r="D2" s="62">
        <f>VLOOKUP(A2,$M$1:$W$8,6,FALSE)</f>
        <v>2</v>
      </c>
      <c r="E2" s="70">
        <f t="shared" ref="E2:E5" si="0">VLOOKUP(A2,$M$1:$W$8,5,FALSE)</f>
        <v>170</v>
      </c>
      <c r="F2" s="76">
        <f t="shared" ref="F2:F5" si="1">60/E2*C2</f>
        <v>0.35294117647058826</v>
      </c>
      <c r="G2" s="73">
        <v>20</v>
      </c>
      <c r="H2" s="77">
        <f t="shared" ref="H2:H5" si="2">D2*F2*G2</f>
        <v>14.117647058823531</v>
      </c>
      <c r="I2" s="17" t="s">
        <v>0</v>
      </c>
      <c r="J2" s="15">
        <v>136.30076956294846</v>
      </c>
      <c r="K2" s="15"/>
      <c r="M2" t="s">
        <v>97</v>
      </c>
      <c r="N2" s="23">
        <v>1.7749999999999999</v>
      </c>
      <c r="O2" s="23">
        <v>30</v>
      </c>
      <c r="P2" s="30">
        <f>N2+O2</f>
        <v>31.774999999999999</v>
      </c>
      <c r="Q2" s="18">
        <v>62</v>
      </c>
      <c r="R2" s="18">
        <v>3</v>
      </c>
      <c r="S2" s="19">
        <f>60/(Q2)</f>
        <v>0.967741935483871</v>
      </c>
      <c r="T2" s="21">
        <v>20</v>
      </c>
      <c r="U2" s="22">
        <f>ROUND(R2*S2*T2,0)</f>
        <v>58</v>
      </c>
      <c r="V2" s="38">
        <f>R2/W$2</f>
        <v>0.3</v>
      </c>
      <c r="W2">
        <f>SUM(R2:R7)</f>
        <v>10</v>
      </c>
    </row>
    <row r="3" spans="1:24" x14ac:dyDescent="0.25">
      <c r="A3" s="89" t="s">
        <v>95</v>
      </c>
      <c r="B3" s="86" t="s">
        <v>0</v>
      </c>
      <c r="C3" s="60">
        <v>1</v>
      </c>
      <c r="D3" s="63">
        <f t="shared" ref="D3:D5" si="3">VLOOKUP(A3,$M$1:$W$8,6,FALSE)</f>
        <v>2</v>
      </c>
      <c r="E3" s="71">
        <f t="shared" si="0"/>
        <v>170</v>
      </c>
      <c r="F3" s="75">
        <f t="shared" si="1"/>
        <v>0.35294117647058826</v>
      </c>
      <c r="G3" s="61">
        <v>20</v>
      </c>
      <c r="H3" s="78">
        <f t="shared" si="2"/>
        <v>14.117647058823531</v>
      </c>
      <c r="I3" s="17" t="s">
        <v>9</v>
      </c>
      <c r="J3" s="15">
        <v>91.867333030440705</v>
      </c>
      <c r="K3" s="15"/>
      <c r="M3" t="s">
        <v>101</v>
      </c>
      <c r="N3" s="23">
        <v>1.62</v>
      </c>
      <c r="O3" s="23">
        <v>15</v>
      </c>
      <c r="P3" s="30">
        <f t="shared" ref="P3:P7" si="4">N3+O3</f>
        <v>16.62</v>
      </c>
      <c r="Q3" s="39">
        <v>50</v>
      </c>
      <c r="R3" s="18">
        <v>1</v>
      </c>
      <c r="S3" s="19">
        <f t="shared" ref="S3:S5" si="5">60/(Q3)</f>
        <v>1.2</v>
      </c>
      <c r="T3" s="21">
        <v>20</v>
      </c>
      <c r="U3" s="22">
        <f t="shared" ref="U3:U5" si="6">ROUND(R3*S3*T3,0)</f>
        <v>24</v>
      </c>
      <c r="V3" s="38">
        <f>R3/W$2</f>
        <v>0.1</v>
      </c>
    </row>
    <row r="4" spans="1:24" x14ac:dyDescent="0.25">
      <c r="A4" s="89" t="s">
        <v>95</v>
      </c>
      <c r="B4" s="86" t="s">
        <v>4</v>
      </c>
      <c r="C4" s="84">
        <v>1</v>
      </c>
      <c r="D4" s="63">
        <f t="shared" si="3"/>
        <v>2</v>
      </c>
      <c r="E4" s="71">
        <f t="shared" si="0"/>
        <v>170</v>
      </c>
      <c r="F4" s="75">
        <f t="shared" si="1"/>
        <v>0.35294117647058826</v>
      </c>
      <c r="G4" s="61">
        <v>20</v>
      </c>
      <c r="H4" s="78">
        <f t="shared" si="2"/>
        <v>14.117647058823531</v>
      </c>
      <c r="I4" s="17" t="s">
        <v>6</v>
      </c>
      <c r="J4" s="15">
        <v>105.98498008926424</v>
      </c>
      <c r="K4" s="15"/>
      <c r="M4" t="s">
        <v>99</v>
      </c>
      <c r="N4" s="23">
        <v>2.9750000000000001</v>
      </c>
      <c r="O4" s="23">
        <v>20</v>
      </c>
      <c r="P4" s="30">
        <f t="shared" si="4"/>
        <v>22.975000000000001</v>
      </c>
      <c r="Q4" s="39">
        <v>37</v>
      </c>
      <c r="R4" s="18">
        <v>1</v>
      </c>
      <c r="S4" s="19">
        <f t="shared" si="5"/>
        <v>1.6216216216216217</v>
      </c>
      <c r="T4" s="21">
        <v>20</v>
      </c>
      <c r="U4" s="22">
        <f t="shared" si="6"/>
        <v>32</v>
      </c>
      <c r="V4" s="38">
        <f t="shared" ref="V4:V5" si="7">R4/W$2</f>
        <v>0.1</v>
      </c>
    </row>
    <row r="5" spans="1:24" ht="15.75" thickBot="1" x14ac:dyDescent="0.3">
      <c r="A5" s="95" t="s">
        <v>95</v>
      </c>
      <c r="B5" s="93" t="s">
        <v>6</v>
      </c>
      <c r="C5" s="84">
        <v>1</v>
      </c>
      <c r="D5" s="63">
        <f t="shared" si="3"/>
        <v>2</v>
      </c>
      <c r="E5" s="72">
        <f t="shared" si="0"/>
        <v>170</v>
      </c>
      <c r="F5" s="79">
        <f t="shared" si="1"/>
        <v>0.35294117647058826</v>
      </c>
      <c r="G5" s="74">
        <v>20</v>
      </c>
      <c r="H5" s="80">
        <f t="shared" si="2"/>
        <v>14.117647058823531</v>
      </c>
      <c r="I5" s="17" t="s">
        <v>8</v>
      </c>
      <c r="J5" s="15">
        <v>98.183122504124924</v>
      </c>
      <c r="K5" s="15"/>
      <c r="M5" t="s">
        <v>100</v>
      </c>
      <c r="N5" s="23">
        <v>1.2390000000000001</v>
      </c>
      <c r="O5" s="23">
        <v>20</v>
      </c>
      <c r="P5" s="30">
        <f t="shared" si="4"/>
        <v>21.239000000000001</v>
      </c>
      <c r="Q5" s="18">
        <v>71</v>
      </c>
      <c r="R5" s="18">
        <v>2</v>
      </c>
      <c r="S5" s="19">
        <f t="shared" si="5"/>
        <v>0.84507042253521125</v>
      </c>
      <c r="T5" s="21">
        <v>20</v>
      </c>
      <c r="U5" s="22">
        <f t="shared" si="6"/>
        <v>34</v>
      </c>
      <c r="V5" s="38">
        <f t="shared" si="7"/>
        <v>0.2</v>
      </c>
    </row>
    <row r="6" spans="1:24" x14ac:dyDescent="0.25">
      <c r="A6" s="88" t="s">
        <v>96</v>
      </c>
      <c r="B6" s="85" t="s">
        <v>60</v>
      </c>
      <c r="C6" s="66">
        <v>1</v>
      </c>
      <c r="D6" s="53">
        <f t="shared" ref="D6:D34" si="8">VLOOKUP(A6,$M$1:$W$8,6,FALSE)</f>
        <v>1</v>
      </c>
      <c r="E6" s="70">
        <f>VLOOKUP(A6,$M$1:$W$8,5,FALSE)</f>
        <v>190</v>
      </c>
      <c r="F6" s="76">
        <f t="shared" ref="F6:F34" si="9">60/E6*C6</f>
        <v>0.31578947368421051</v>
      </c>
      <c r="G6" s="73">
        <v>20</v>
      </c>
      <c r="H6" s="77">
        <f>D6*F6*G6</f>
        <v>6.3157894736842106</v>
      </c>
      <c r="I6" s="17" t="s">
        <v>3</v>
      </c>
      <c r="J6" s="15">
        <v>58.064516129032256</v>
      </c>
      <c r="K6" s="15"/>
      <c r="M6" t="s">
        <v>96</v>
      </c>
      <c r="N6" s="23">
        <v>1.107</v>
      </c>
      <c r="O6" s="23">
        <v>15</v>
      </c>
      <c r="P6" s="30">
        <f t="shared" si="4"/>
        <v>16.106999999999999</v>
      </c>
      <c r="Q6" s="18">
        <v>190</v>
      </c>
      <c r="R6" s="18">
        <v>1</v>
      </c>
      <c r="S6" s="19">
        <f>60/(Q6)</f>
        <v>0.31578947368421051</v>
      </c>
      <c r="T6" s="21">
        <v>20</v>
      </c>
      <c r="U6" s="22">
        <f>ROUND(R6*S6*T6,0)</f>
        <v>6</v>
      </c>
      <c r="V6" s="38">
        <f>R6/W$2</f>
        <v>0.1</v>
      </c>
    </row>
    <row r="7" spans="1:24" x14ac:dyDescent="0.25">
      <c r="A7" s="89" t="s">
        <v>96</v>
      </c>
      <c r="B7" s="86" t="s">
        <v>0</v>
      </c>
      <c r="C7" s="29">
        <v>1</v>
      </c>
      <c r="D7" s="51">
        <f t="shared" si="8"/>
        <v>1</v>
      </c>
      <c r="E7" s="71">
        <f>VLOOKUP(A7,$M$1:$W$8,5,FALSE)</f>
        <v>190</v>
      </c>
      <c r="F7" s="75">
        <f t="shared" si="9"/>
        <v>0.31578947368421051</v>
      </c>
      <c r="G7" s="61">
        <v>20</v>
      </c>
      <c r="H7" s="78">
        <f>D7*F7*G7</f>
        <v>6.3157894736842106</v>
      </c>
      <c r="I7" s="17" t="s">
        <v>10</v>
      </c>
      <c r="J7" s="15">
        <v>24</v>
      </c>
      <c r="K7" s="15"/>
      <c r="M7" t="s">
        <v>95</v>
      </c>
      <c r="N7" s="23">
        <v>0.70899999999999996</v>
      </c>
      <c r="O7" s="31">
        <v>15</v>
      </c>
      <c r="P7" s="30">
        <f t="shared" si="4"/>
        <v>15.709</v>
      </c>
      <c r="Q7" s="18">
        <v>170</v>
      </c>
      <c r="R7" s="32">
        <v>2</v>
      </c>
      <c r="S7" s="19">
        <f>60/(Q7)</f>
        <v>0.35294117647058826</v>
      </c>
      <c r="T7" s="21">
        <v>20</v>
      </c>
      <c r="U7" s="22">
        <f>ROUND(R7*S7*T7,0)</f>
        <v>14</v>
      </c>
      <c r="V7" s="38">
        <f>R7/W$2</f>
        <v>0.2</v>
      </c>
    </row>
    <row r="8" spans="1:24" x14ac:dyDescent="0.25">
      <c r="A8" s="89" t="s">
        <v>96</v>
      </c>
      <c r="B8" s="86" t="s">
        <v>75</v>
      </c>
      <c r="C8" s="29">
        <v>1</v>
      </c>
      <c r="D8" s="51">
        <f t="shared" si="8"/>
        <v>1</v>
      </c>
      <c r="E8" s="71">
        <f t="shared" ref="E8:E9" si="10">VLOOKUP(A8,$M$1:$W$8,5,FALSE)</f>
        <v>190</v>
      </c>
      <c r="F8" s="75">
        <f t="shared" si="9"/>
        <v>0.31578947368421051</v>
      </c>
      <c r="G8" s="61">
        <v>20</v>
      </c>
      <c r="H8" s="78">
        <f t="shared" ref="H8:H9" si="11">D8*F8*G8</f>
        <v>6.3157894736842106</v>
      </c>
      <c r="I8" s="17" t="s">
        <v>4</v>
      </c>
      <c r="J8" s="15">
        <v>96.182163187855792</v>
      </c>
      <c r="K8" s="15"/>
      <c r="U8" s="22">
        <f>SUM(U2:U6)</f>
        <v>154</v>
      </c>
      <c r="V8" s="38">
        <f>SUM(V2:V6)</f>
        <v>0.79999999999999993</v>
      </c>
    </row>
    <row r="9" spans="1:24" x14ac:dyDescent="0.25">
      <c r="A9" s="89" t="s">
        <v>96</v>
      </c>
      <c r="B9" s="86" t="s">
        <v>8</v>
      </c>
      <c r="C9" s="29">
        <v>1</v>
      </c>
      <c r="D9" s="51">
        <f t="shared" si="8"/>
        <v>1</v>
      </c>
      <c r="E9" s="71">
        <f t="shared" si="10"/>
        <v>190</v>
      </c>
      <c r="F9" s="75">
        <f t="shared" si="9"/>
        <v>0.31578947368421051</v>
      </c>
      <c r="G9" s="61">
        <v>20</v>
      </c>
      <c r="H9" s="78">
        <f t="shared" si="11"/>
        <v>6.3157894736842106</v>
      </c>
      <c r="I9" s="17" t="s">
        <v>60</v>
      </c>
      <c r="J9" s="15">
        <v>168.73320199538091</v>
      </c>
      <c r="K9" s="15"/>
    </row>
    <row r="10" spans="1:24" ht="15.75" thickBot="1" x14ac:dyDescent="0.3">
      <c r="A10" s="90" t="s">
        <v>96</v>
      </c>
      <c r="B10" s="87" t="s">
        <v>6</v>
      </c>
      <c r="C10" s="68">
        <v>0</v>
      </c>
      <c r="D10" s="52">
        <f t="shared" si="8"/>
        <v>1</v>
      </c>
      <c r="E10" s="72">
        <f t="shared" ref="E10:E34" si="12">VLOOKUP(A10,$M$1:$W$8,5,FALSE)</f>
        <v>190</v>
      </c>
      <c r="F10" s="79">
        <f t="shared" si="9"/>
        <v>0</v>
      </c>
      <c r="G10" s="74">
        <v>20</v>
      </c>
      <c r="H10" s="80">
        <f t="shared" ref="H10:H34" si="13">D10*F10*G10</f>
        <v>0</v>
      </c>
      <c r="I10" s="17" t="s">
        <v>62</v>
      </c>
      <c r="J10" s="15">
        <v>32.432432432432435</v>
      </c>
    </row>
    <row r="11" spans="1:24" x14ac:dyDescent="0.25">
      <c r="A11" s="88" t="s">
        <v>100</v>
      </c>
      <c r="B11" s="85" t="s">
        <v>60</v>
      </c>
      <c r="C11" s="67">
        <v>1</v>
      </c>
      <c r="D11" s="62">
        <f t="shared" si="8"/>
        <v>2</v>
      </c>
      <c r="E11" s="73">
        <f t="shared" si="12"/>
        <v>71</v>
      </c>
      <c r="F11" s="76">
        <f t="shared" si="9"/>
        <v>0.84507042253521125</v>
      </c>
      <c r="G11" s="73">
        <v>20</v>
      </c>
      <c r="H11" s="77">
        <f t="shared" si="13"/>
        <v>33.802816901408448</v>
      </c>
      <c r="I11" s="17" t="s">
        <v>61</v>
      </c>
      <c r="J11" s="15">
        <v>32.432432432432435</v>
      </c>
    </row>
    <row r="12" spans="1:24" x14ac:dyDescent="0.25">
      <c r="A12" s="89" t="s">
        <v>100</v>
      </c>
      <c r="B12" s="86" t="s">
        <v>0</v>
      </c>
      <c r="C12" s="60">
        <v>1</v>
      </c>
      <c r="D12" s="63">
        <f t="shared" si="8"/>
        <v>2</v>
      </c>
      <c r="E12" s="61">
        <f t="shared" si="12"/>
        <v>71</v>
      </c>
      <c r="F12" s="75">
        <f t="shared" si="9"/>
        <v>0.84507042253521125</v>
      </c>
      <c r="G12" s="61">
        <v>20</v>
      </c>
      <c r="H12" s="78">
        <f t="shared" si="13"/>
        <v>33.802816901408448</v>
      </c>
      <c r="I12" s="17" t="s">
        <v>63</v>
      </c>
      <c r="J12" s="15">
        <v>32.432432432432435</v>
      </c>
    </row>
    <row r="13" spans="1:24" x14ac:dyDescent="0.25">
      <c r="A13" s="89" t="s">
        <v>100</v>
      </c>
      <c r="B13" s="86" t="s">
        <v>75</v>
      </c>
      <c r="C13" s="60">
        <v>1</v>
      </c>
      <c r="D13" s="63">
        <f t="shared" si="8"/>
        <v>2</v>
      </c>
      <c r="E13" s="61">
        <f t="shared" si="12"/>
        <v>71</v>
      </c>
      <c r="F13" s="75">
        <f t="shared" si="9"/>
        <v>0.84507042253521125</v>
      </c>
      <c r="G13" s="61">
        <v>20</v>
      </c>
      <c r="H13" s="78">
        <f t="shared" si="13"/>
        <v>33.802816901408448</v>
      </c>
      <c r="I13" s="17" t="s">
        <v>75</v>
      </c>
      <c r="J13" s="15">
        <v>98.183122504124924</v>
      </c>
    </row>
    <row r="14" spans="1:24" x14ac:dyDescent="0.25">
      <c r="A14" s="89" t="s">
        <v>100</v>
      </c>
      <c r="B14" s="86" t="s">
        <v>8</v>
      </c>
      <c r="C14" s="60">
        <v>1</v>
      </c>
      <c r="D14" s="63">
        <f t="shared" si="8"/>
        <v>2</v>
      </c>
      <c r="E14" s="61">
        <f t="shared" si="12"/>
        <v>71</v>
      </c>
      <c r="F14" s="75">
        <f t="shared" si="9"/>
        <v>0.84507042253521125</v>
      </c>
      <c r="G14" s="61">
        <v>20</v>
      </c>
      <c r="H14" s="78">
        <f t="shared" si="13"/>
        <v>33.802816901408448</v>
      </c>
      <c r="I14" s="17" t="s">
        <v>38</v>
      </c>
      <c r="J14" s="15">
        <v>974.79650630046945</v>
      </c>
    </row>
    <row r="15" spans="1:24" x14ac:dyDescent="0.25">
      <c r="A15" s="89" t="s">
        <v>100</v>
      </c>
      <c r="B15" s="86" t="s">
        <v>9</v>
      </c>
      <c r="C15" s="60">
        <v>1</v>
      </c>
      <c r="D15" s="63">
        <f t="shared" si="8"/>
        <v>2</v>
      </c>
      <c r="E15" s="61">
        <f t="shared" si="12"/>
        <v>71</v>
      </c>
      <c r="F15" s="75">
        <f t="shared" si="9"/>
        <v>0.84507042253521125</v>
      </c>
      <c r="G15" s="61">
        <v>20</v>
      </c>
      <c r="H15" s="78">
        <f t="shared" si="13"/>
        <v>33.802816901408448</v>
      </c>
    </row>
    <row r="16" spans="1:24" ht="15.75" thickBot="1" x14ac:dyDescent="0.3">
      <c r="A16" s="95" t="s">
        <v>100</v>
      </c>
      <c r="B16" s="87" t="s">
        <v>6</v>
      </c>
      <c r="C16" s="69">
        <v>1</v>
      </c>
      <c r="D16" s="64">
        <f t="shared" si="8"/>
        <v>2</v>
      </c>
      <c r="E16" s="74">
        <f t="shared" si="12"/>
        <v>71</v>
      </c>
      <c r="F16" s="79">
        <f t="shared" si="9"/>
        <v>0.84507042253521125</v>
      </c>
      <c r="G16" s="74">
        <v>20</v>
      </c>
      <c r="H16" s="80">
        <f t="shared" si="13"/>
        <v>33.802816901408448</v>
      </c>
    </row>
    <row r="17" spans="1:8" x14ac:dyDescent="0.25">
      <c r="A17" s="88" t="s">
        <v>97</v>
      </c>
      <c r="B17" s="85" t="s">
        <v>60</v>
      </c>
      <c r="C17" s="66">
        <v>1</v>
      </c>
      <c r="D17" s="53">
        <f t="shared" si="8"/>
        <v>3</v>
      </c>
      <c r="E17" s="70">
        <f t="shared" si="12"/>
        <v>62</v>
      </c>
      <c r="F17" s="76">
        <f t="shared" si="9"/>
        <v>0.967741935483871</v>
      </c>
      <c r="G17" s="73">
        <v>20</v>
      </c>
      <c r="H17" s="77">
        <f t="shared" si="13"/>
        <v>58.064516129032256</v>
      </c>
    </row>
    <row r="18" spans="1:8" x14ac:dyDescent="0.25">
      <c r="A18" s="89" t="s">
        <v>97</v>
      </c>
      <c r="B18" s="86" t="s">
        <v>75</v>
      </c>
      <c r="C18" s="29">
        <v>1</v>
      </c>
      <c r="D18" s="51">
        <f t="shared" si="8"/>
        <v>3</v>
      </c>
      <c r="E18" s="71">
        <f t="shared" si="12"/>
        <v>62</v>
      </c>
      <c r="F18" s="75">
        <f t="shared" si="9"/>
        <v>0.967741935483871</v>
      </c>
      <c r="G18" s="61">
        <v>20</v>
      </c>
      <c r="H18" s="78">
        <f t="shared" si="13"/>
        <v>58.064516129032256</v>
      </c>
    </row>
    <row r="19" spans="1:8" x14ac:dyDescent="0.25">
      <c r="A19" s="89" t="s">
        <v>97</v>
      </c>
      <c r="B19" s="86" t="s">
        <v>0</v>
      </c>
      <c r="C19" s="29">
        <v>1</v>
      </c>
      <c r="D19" s="51">
        <f t="shared" si="8"/>
        <v>3</v>
      </c>
      <c r="E19" s="71">
        <f t="shared" si="12"/>
        <v>62</v>
      </c>
      <c r="F19" s="75">
        <f t="shared" si="9"/>
        <v>0.967741935483871</v>
      </c>
      <c r="G19" s="61">
        <v>20</v>
      </c>
      <c r="H19" s="78">
        <f t="shared" si="13"/>
        <v>58.064516129032256</v>
      </c>
    </row>
    <row r="20" spans="1:8" x14ac:dyDescent="0.25">
      <c r="A20" s="89" t="s">
        <v>97</v>
      </c>
      <c r="B20" s="86" t="s">
        <v>8</v>
      </c>
      <c r="C20" s="29">
        <v>1</v>
      </c>
      <c r="D20" s="51">
        <f t="shared" si="8"/>
        <v>3</v>
      </c>
      <c r="E20" s="71">
        <f t="shared" si="12"/>
        <v>62</v>
      </c>
      <c r="F20" s="75">
        <f t="shared" si="9"/>
        <v>0.967741935483871</v>
      </c>
      <c r="G20" s="61">
        <v>20</v>
      </c>
      <c r="H20" s="78">
        <f t="shared" si="13"/>
        <v>58.064516129032256</v>
      </c>
    </row>
    <row r="21" spans="1:8" x14ac:dyDescent="0.25">
      <c r="A21" s="89" t="s">
        <v>97</v>
      </c>
      <c r="B21" s="86" t="s">
        <v>9</v>
      </c>
      <c r="C21" s="29">
        <v>1</v>
      </c>
      <c r="D21" s="51">
        <f t="shared" si="8"/>
        <v>3</v>
      </c>
      <c r="E21" s="71">
        <f t="shared" si="12"/>
        <v>62</v>
      </c>
      <c r="F21" s="75">
        <f t="shared" si="9"/>
        <v>0.967741935483871</v>
      </c>
      <c r="G21" s="61">
        <v>20</v>
      </c>
      <c r="H21" s="78">
        <f t="shared" si="13"/>
        <v>58.064516129032256</v>
      </c>
    </row>
    <row r="22" spans="1:8" x14ac:dyDescent="0.25">
      <c r="A22" s="89" t="s">
        <v>97</v>
      </c>
      <c r="B22" s="86" t="s">
        <v>3</v>
      </c>
      <c r="C22" s="29">
        <v>1</v>
      </c>
      <c r="D22" s="51">
        <f t="shared" si="8"/>
        <v>3</v>
      </c>
      <c r="E22" s="71">
        <f t="shared" si="12"/>
        <v>62</v>
      </c>
      <c r="F22" s="75">
        <f t="shared" si="9"/>
        <v>0.967741935483871</v>
      </c>
      <c r="G22" s="61">
        <v>20</v>
      </c>
      <c r="H22" s="78">
        <f t="shared" si="13"/>
        <v>58.064516129032256</v>
      </c>
    </row>
    <row r="23" spans="1:8" x14ac:dyDescent="0.25">
      <c r="A23" s="89" t="s">
        <v>97</v>
      </c>
      <c r="B23" s="86" t="s">
        <v>4</v>
      </c>
      <c r="C23" s="29">
        <v>1</v>
      </c>
      <c r="D23" s="51">
        <f t="shared" si="8"/>
        <v>3</v>
      </c>
      <c r="E23" s="71">
        <f t="shared" si="12"/>
        <v>62</v>
      </c>
      <c r="F23" s="75">
        <f t="shared" si="9"/>
        <v>0.967741935483871</v>
      </c>
      <c r="G23" s="61">
        <v>20</v>
      </c>
      <c r="H23" s="78">
        <f t="shared" si="13"/>
        <v>58.064516129032256</v>
      </c>
    </row>
    <row r="24" spans="1:8" ht="15.75" thickBot="1" x14ac:dyDescent="0.3">
      <c r="A24" s="90" t="s">
        <v>97</v>
      </c>
      <c r="B24" s="87" t="s">
        <v>6</v>
      </c>
      <c r="C24" s="68">
        <v>1</v>
      </c>
      <c r="D24" s="52">
        <f t="shared" si="8"/>
        <v>3</v>
      </c>
      <c r="E24" s="72">
        <f t="shared" si="12"/>
        <v>62</v>
      </c>
      <c r="F24" s="79">
        <f t="shared" si="9"/>
        <v>0.967741935483871</v>
      </c>
      <c r="G24" s="74">
        <v>20</v>
      </c>
      <c r="H24" s="80">
        <f t="shared" si="13"/>
        <v>58.064516129032256</v>
      </c>
    </row>
    <row r="25" spans="1:8" x14ac:dyDescent="0.25">
      <c r="A25" s="88" t="s">
        <v>101</v>
      </c>
      <c r="B25" s="94" t="s">
        <v>60</v>
      </c>
      <c r="C25" s="65">
        <v>1</v>
      </c>
      <c r="D25" s="51">
        <f t="shared" si="8"/>
        <v>1</v>
      </c>
      <c r="E25" s="82">
        <f t="shared" si="12"/>
        <v>50</v>
      </c>
      <c r="F25" s="75">
        <f t="shared" si="9"/>
        <v>1.2</v>
      </c>
      <c r="G25" s="61">
        <v>20</v>
      </c>
      <c r="H25" s="78">
        <f t="shared" si="13"/>
        <v>24</v>
      </c>
    </row>
    <row r="26" spans="1:8" x14ac:dyDescent="0.25">
      <c r="A26" s="96" t="s">
        <v>101</v>
      </c>
      <c r="B26" s="86" t="s">
        <v>0</v>
      </c>
      <c r="C26" s="29">
        <v>1</v>
      </c>
      <c r="D26" s="51">
        <f t="shared" si="8"/>
        <v>1</v>
      </c>
      <c r="E26" s="82">
        <f t="shared" si="12"/>
        <v>50</v>
      </c>
      <c r="F26" s="75">
        <f t="shared" si="9"/>
        <v>1.2</v>
      </c>
      <c r="G26" s="61">
        <v>20</v>
      </c>
      <c r="H26" s="78">
        <f t="shared" si="13"/>
        <v>24</v>
      </c>
    </row>
    <row r="27" spans="1:8" x14ac:dyDescent="0.25">
      <c r="A27" s="96" t="s">
        <v>101</v>
      </c>
      <c r="B27" s="86" t="s">
        <v>4</v>
      </c>
      <c r="C27" s="29">
        <v>1</v>
      </c>
      <c r="D27" s="51">
        <f t="shared" si="8"/>
        <v>1</v>
      </c>
      <c r="E27" s="82">
        <f t="shared" si="12"/>
        <v>50</v>
      </c>
      <c r="F27" s="75">
        <f t="shared" si="9"/>
        <v>1.2</v>
      </c>
      <c r="G27" s="61">
        <v>20</v>
      </c>
      <c r="H27" s="78">
        <f t="shared" si="13"/>
        <v>24</v>
      </c>
    </row>
    <row r="28" spans="1:8" x14ac:dyDescent="0.25">
      <c r="A28" s="96" t="s">
        <v>101</v>
      </c>
      <c r="B28" s="86" t="s">
        <v>10</v>
      </c>
      <c r="C28" s="29">
        <v>1</v>
      </c>
      <c r="D28" s="51">
        <f t="shared" si="8"/>
        <v>1</v>
      </c>
      <c r="E28" s="82">
        <f t="shared" si="12"/>
        <v>50</v>
      </c>
      <c r="F28" s="75">
        <f t="shared" si="9"/>
        <v>1.2</v>
      </c>
      <c r="G28" s="61">
        <v>20</v>
      </c>
      <c r="H28" s="78">
        <f t="shared" si="13"/>
        <v>24</v>
      </c>
    </row>
    <row r="29" spans="1:8" ht="15.75" thickBot="1" x14ac:dyDescent="0.3">
      <c r="A29" s="97" t="s">
        <v>101</v>
      </c>
      <c r="B29" s="87" t="s">
        <v>6</v>
      </c>
      <c r="C29" s="68">
        <v>0</v>
      </c>
      <c r="D29" s="52">
        <f t="shared" si="8"/>
        <v>1</v>
      </c>
      <c r="E29" s="83">
        <f t="shared" si="12"/>
        <v>50</v>
      </c>
      <c r="F29" s="79">
        <f t="shared" si="9"/>
        <v>0</v>
      </c>
      <c r="G29" s="74">
        <v>20</v>
      </c>
      <c r="H29" s="80">
        <f t="shared" si="13"/>
        <v>0</v>
      </c>
    </row>
    <row r="30" spans="1:8" x14ac:dyDescent="0.25">
      <c r="A30" s="96" t="s">
        <v>99</v>
      </c>
      <c r="B30" s="94" t="s">
        <v>60</v>
      </c>
      <c r="C30" s="65">
        <v>1</v>
      </c>
      <c r="D30" s="51">
        <f t="shared" si="8"/>
        <v>1</v>
      </c>
      <c r="E30" s="81">
        <f t="shared" si="12"/>
        <v>37</v>
      </c>
      <c r="F30" s="76">
        <f t="shared" si="9"/>
        <v>1.6216216216216217</v>
      </c>
      <c r="G30" s="73">
        <v>20</v>
      </c>
      <c r="H30" s="77">
        <f t="shared" si="13"/>
        <v>32.432432432432435</v>
      </c>
    </row>
    <row r="31" spans="1:8" x14ac:dyDescent="0.25">
      <c r="A31" s="96" t="s">
        <v>99</v>
      </c>
      <c r="B31" s="86" t="s">
        <v>62</v>
      </c>
      <c r="C31" s="29">
        <v>1</v>
      </c>
      <c r="D31" s="51">
        <f t="shared" si="8"/>
        <v>1</v>
      </c>
      <c r="E31" s="82">
        <f t="shared" si="12"/>
        <v>37</v>
      </c>
      <c r="F31" s="75">
        <f t="shared" si="9"/>
        <v>1.6216216216216217</v>
      </c>
      <c r="G31" s="61">
        <v>20</v>
      </c>
      <c r="H31" s="78">
        <f t="shared" si="13"/>
        <v>32.432432432432435</v>
      </c>
    </row>
    <row r="32" spans="1:8" x14ac:dyDescent="0.25">
      <c r="A32" s="96" t="s">
        <v>99</v>
      </c>
      <c r="B32" s="86" t="s">
        <v>61</v>
      </c>
      <c r="C32" s="29">
        <v>1</v>
      </c>
      <c r="D32" s="51">
        <f t="shared" si="8"/>
        <v>1</v>
      </c>
      <c r="E32" s="82">
        <f t="shared" si="12"/>
        <v>37</v>
      </c>
      <c r="F32" s="75">
        <f t="shared" si="9"/>
        <v>1.6216216216216217</v>
      </c>
      <c r="G32" s="61">
        <v>20</v>
      </c>
      <c r="H32" s="78">
        <f t="shared" si="13"/>
        <v>32.432432432432435</v>
      </c>
    </row>
    <row r="33" spans="1:8" x14ac:dyDescent="0.25">
      <c r="A33" s="96" t="s">
        <v>99</v>
      </c>
      <c r="B33" s="86" t="s">
        <v>63</v>
      </c>
      <c r="C33" s="29">
        <v>1</v>
      </c>
      <c r="D33" s="51">
        <f t="shared" si="8"/>
        <v>1</v>
      </c>
      <c r="E33" s="82">
        <f t="shared" si="12"/>
        <v>37</v>
      </c>
      <c r="F33" s="75">
        <f t="shared" si="9"/>
        <v>1.6216216216216217</v>
      </c>
      <c r="G33" s="61">
        <v>20</v>
      </c>
      <c r="H33" s="78">
        <f t="shared" si="13"/>
        <v>32.432432432432435</v>
      </c>
    </row>
    <row r="34" spans="1:8" ht="15.75" thickBot="1" x14ac:dyDescent="0.3">
      <c r="A34" s="97" t="s">
        <v>99</v>
      </c>
      <c r="B34" s="86" t="s">
        <v>6</v>
      </c>
      <c r="C34" s="29">
        <v>0</v>
      </c>
      <c r="D34" s="52">
        <f t="shared" si="8"/>
        <v>1</v>
      </c>
      <c r="E34" s="83">
        <f t="shared" si="12"/>
        <v>37</v>
      </c>
      <c r="F34" s="79">
        <f t="shared" si="9"/>
        <v>0</v>
      </c>
      <c r="G34" s="74">
        <v>20</v>
      </c>
      <c r="H34" s="80">
        <f t="shared" si="13"/>
        <v>0</v>
      </c>
    </row>
    <row r="43" spans="1:8" ht="15.75" thickBot="1" x14ac:dyDescent="0.3"/>
    <row r="44" spans="1:8" x14ac:dyDescent="0.25">
      <c r="A44" s="98" t="s">
        <v>77</v>
      </c>
      <c r="B44" s="99"/>
    </row>
    <row r="45" spans="1:8" ht="93.75" x14ac:dyDescent="0.3">
      <c r="A45" s="41" t="s">
        <v>76</v>
      </c>
      <c r="B45" s="42" t="s">
        <v>57</v>
      </c>
      <c r="C45" s="40" t="s">
        <v>55</v>
      </c>
      <c r="D45" s="56" t="s">
        <v>56</v>
      </c>
      <c r="E45" s="58" t="s">
        <v>81</v>
      </c>
      <c r="F45" s="28" t="s">
        <v>54</v>
      </c>
      <c r="G45" s="28" t="s">
        <v>58</v>
      </c>
      <c r="H45" s="28" t="s">
        <v>59</v>
      </c>
    </row>
    <row r="46" spans="1:8" ht="18.75" x14ac:dyDescent="0.25">
      <c r="A46" s="41" t="s">
        <v>60</v>
      </c>
      <c r="B46" s="43">
        <v>520</v>
      </c>
      <c r="C46" s="27">
        <f t="shared" ref="C46:C57" si="14">GETPIVOTDATA("Итого",$I$1,"transaction rq",A46)*3</f>
        <v>506.19960598614273</v>
      </c>
      <c r="D46" s="57">
        <f t="shared" ref="D46:D58" si="15">1-B46/C46</f>
        <v>-2.7262751394229845E-2</v>
      </c>
      <c r="E46" s="55" t="str">
        <f>VLOOKUP(A46,Соответствие!A:B,2,FALSE)</f>
        <v>openHomePage</v>
      </c>
      <c r="F46" s="59">
        <f t="shared" ref="F46:F57" si="16">C46/3</f>
        <v>168.73320199538091</v>
      </c>
      <c r="G46" s="50">
        <f>VLOOKUP(E46,SummaryReport!A:J,8,FALSE)</f>
        <v>169</v>
      </c>
      <c r="H46" s="25">
        <f>1-F46/G46</f>
        <v>1.5786864178644056E-3</v>
      </c>
    </row>
    <row r="47" spans="1:8" ht="18.75" x14ac:dyDescent="0.25">
      <c r="A47" s="44" t="s">
        <v>0</v>
      </c>
      <c r="B47" s="43">
        <v>422</v>
      </c>
      <c r="C47" s="27">
        <f t="shared" si="14"/>
        <v>408.90230868884538</v>
      </c>
      <c r="D47" s="57">
        <f t="shared" si="15"/>
        <v>-3.2031345954373958E-2</v>
      </c>
      <c r="E47" s="55" t="str">
        <f>VLOOKUP(A47,Соответствие!A:B,2,FALSE)</f>
        <v>login</v>
      </c>
      <c r="F47" s="59">
        <f t="shared" si="16"/>
        <v>136.30076956294846</v>
      </c>
      <c r="G47" s="50">
        <f>VLOOKUP(E47,SummaryReport!A:J,8,FALSE)</f>
        <v>136</v>
      </c>
      <c r="H47" s="25">
        <f>1-F47/G47</f>
        <v>-2.2115409040328604E-3</v>
      </c>
    </row>
    <row r="48" spans="1:8" ht="18.75" x14ac:dyDescent="0.25">
      <c r="A48" s="44" t="s">
        <v>75</v>
      </c>
      <c r="B48" s="43">
        <v>305</v>
      </c>
      <c r="C48" s="27">
        <f t="shared" si="14"/>
        <v>294.54936751237477</v>
      </c>
      <c r="D48" s="57">
        <f t="shared" si="15"/>
        <v>-3.5480071051879447E-2</v>
      </c>
      <c r="E48" s="55" t="str">
        <f>VLOOKUP(A48,Соответствие!A:B,2,FALSE)</f>
        <v>flightsBottonClick</v>
      </c>
      <c r="F48" s="59">
        <f t="shared" si="16"/>
        <v>98.183122504124924</v>
      </c>
      <c r="G48" s="50">
        <f>VLOOKUP(E48,SummaryReport!A:J,8,FALSE)</f>
        <v>98</v>
      </c>
      <c r="H48" s="25">
        <f>1-F48/G48</f>
        <v>-1.8685969808664993E-3</v>
      </c>
    </row>
    <row r="49" spans="1:8" ht="18.75" x14ac:dyDescent="0.25">
      <c r="A49" s="44" t="s">
        <v>8</v>
      </c>
      <c r="B49" s="43">
        <v>282</v>
      </c>
      <c r="C49" s="27">
        <f t="shared" si="14"/>
        <v>294.54936751237477</v>
      </c>
      <c r="D49" s="54">
        <f t="shared" si="15"/>
        <v>4.2605311355311426E-2</v>
      </c>
      <c r="E49" s="55" t="str">
        <f>VLOOKUP(A49,Соответствие!A:B,2,FALSE)</f>
        <v>startFindingFlights</v>
      </c>
      <c r="F49" s="59">
        <f t="shared" si="16"/>
        <v>98.183122504124924</v>
      </c>
      <c r="G49" s="50">
        <f>VLOOKUP(E49,SummaryReport!A:J,8,FALSE)</f>
        <v>98</v>
      </c>
      <c r="H49" s="25">
        <f t="shared" ref="H49:H57" si="17">1-F49/G49</f>
        <v>-1.8685969808664993E-3</v>
      </c>
    </row>
    <row r="50" spans="1:8" ht="18.75" x14ac:dyDescent="0.25">
      <c r="A50" s="44" t="s">
        <v>9</v>
      </c>
      <c r="B50" s="43">
        <v>270</v>
      </c>
      <c r="C50" s="27">
        <f t="shared" si="14"/>
        <v>275.60199909132211</v>
      </c>
      <c r="D50" s="54">
        <f t="shared" si="15"/>
        <v>2.0326409495548869E-2</v>
      </c>
      <c r="E50" s="55" t="str">
        <f>VLOOKUP(A50,Соответствие!A:B,2,FALSE)</f>
        <v>choseFlightTime</v>
      </c>
      <c r="F50" s="59">
        <f t="shared" si="16"/>
        <v>91.867333030440705</v>
      </c>
      <c r="G50" s="50">
        <f>VLOOKUP(E50,SummaryReport!A:J,8,FALSE)</f>
        <v>92</v>
      </c>
      <c r="H50" s="25">
        <f t="shared" si="17"/>
        <v>1.4420322778184724E-3</v>
      </c>
    </row>
    <row r="51" spans="1:8" ht="18.75" x14ac:dyDescent="0.25">
      <c r="A51" s="44" t="s">
        <v>3</v>
      </c>
      <c r="B51" s="43">
        <v>175</v>
      </c>
      <c r="C51" s="27">
        <f t="shared" si="14"/>
        <v>174.19354838709677</v>
      </c>
      <c r="D51" s="54">
        <f t="shared" si="15"/>
        <v>-4.6296296296297612E-3</v>
      </c>
      <c r="E51" s="55" t="str">
        <f>VLOOKUP(A51,Соответствие!A:B,2,FALSE)</f>
        <v>paymentDetails</v>
      </c>
      <c r="F51" s="59">
        <f t="shared" si="16"/>
        <v>58.064516129032256</v>
      </c>
      <c r="G51" s="50">
        <f>VLOOKUP(E51,SummaryReport!A:J,8,FALSE)</f>
        <v>58</v>
      </c>
      <c r="H51" s="25">
        <f t="shared" si="17"/>
        <v>-1.1123470522802492E-3</v>
      </c>
    </row>
    <row r="52" spans="1:8" ht="18.75" x14ac:dyDescent="0.25">
      <c r="A52" s="44" t="s">
        <v>4</v>
      </c>
      <c r="B52" s="43">
        <v>280</v>
      </c>
      <c r="C52" s="27">
        <f t="shared" si="14"/>
        <v>288.54648956356738</v>
      </c>
      <c r="D52" s="54">
        <f t="shared" si="15"/>
        <v>2.9619107744107809E-2</v>
      </c>
      <c r="E52" s="55" t="str">
        <f>VLOOKUP(A52,Соответствие!A:B,2,FALSE)</f>
        <v>browsingItenerary</v>
      </c>
      <c r="F52" s="59">
        <f t="shared" si="16"/>
        <v>96.182163187855792</v>
      </c>
      <c r="G52" s="50">
        <f>VLOOKUP(E52,SummaryReport!A:J,8,FALSE)</f>
        <v>97</v>
      </c>
      <c r="H52" s="25">
        <f t="shared" si="17"/>
        <v>8.4313073416928397E-3</v>
      </c>
    </row>
    <row r="53" spans="1:8" ht="18.75" x14ac:dyDescent="0.25">
      <c r="A53" s="44" t="s">
        <v>10</v>
      </c>
      <c r="B53" s="43">
        <v>73</v>
      </c>
      <c r="C53" s="27">
        <f t="shared" si="14"/>
        <v>72</v>
      </c>
      <c r="D53" s="54">
        <f t="shared" si="15"/>
        <v>-1.388888888888884E-2</v>
      </c>
      <c r="E53" s="55" t="str">
        <f>VLOOKUP(A53,Соответствие!A:B,2,FALSE)</f>
        <v>CancelingFlight</v>
      </c>
      <c r="F53" s="59">
        <f t="shared" si="16"/>
        <v>24</v>
      </c>
      <c r="G53" s="50">
        <f>VLOOKUP(E53,SummaryReport!A:J,8,FALSE)</f>
        <v>24</v>
      </c>
      <c r="H53" s="25">
        <f t="shared" si="17"/>
        <v>0</v>
      </c>
    </row>
    <row r="54" spans="1:8" ht="18.75" x14ac:dyDescent="0.25">
      <c r="A54" s="44" t="s">
        <v>6</v>
      </c>
      <c r="B54" s="43">
        <v>326</v>
      </c>
      <c r="C54" s="27">
        <f t="shared" si="14"/>
        <v>317.95494026779272</v>
      </c>
      <c r="D54" s="54">
        <f t="shared" si="15"/>
        <v>-2.5302515272860537E-2</v>
      </c>
      <c r="E54" s="55" t="str">
        <f>VLOOKUP(A54,Соответствие!A:B,2,FALSE)</f>
        <v>logout</v>
      </c>
      <c r="F54" s="59">
        <f t="shared" si="16"/>
        <v>105.98498008926424</v>
      </c>
      <c r="G54" s="50">
        <f>VLOOKUP(E54,SummaryReport!A:J,8,FALSE)</f>
        <v>107</v>
      </c>
      <c r="H54" s="25">
        <f t="shared" si="17"/>
        <v>9.4861673900538124E-3</v>
      </c>
    </row>
    <row r="55" spans="1:8" ht="18.75" x14ac:dyDescent="0.25">
      <c r="A55" s="44" t="s">
        <v>62</v>
      </c>
      <c r="B55" s="43">
        <v>97</v>
      </c>
      <c r="C55" s="27">
        <f t="shared" si="14"/>
        <v>97.297297297297305</v>
      </c>
      <c r="D55" s="54">
        <f t="shared" si="15"/>
        <v>3.0555555555555891E-3</v>
      </c>
      <c r="E55" s="55" t="str">
        <f>VLOOKUP(A55,Соответствие!A:B,2,FALSE)</f>
        <v>signUpNowButtonClick</v>
      </c>
      <c r="F55" s="59">
        <f t="shared" si="16"/>
        <v>32.432432432432435</v>
      </c>
      <c r="G55" s="50">
        <f>VLOOKUP(E55,SummaryReport!A:J,8,FALSE)</f>
        <v>32</v>
      </c>
      <c r="H55" s="25">
        <f t="shared" si="17"/>
        <v>-1.3513513513513598E-2</v>
      </c>
    </row>
    <row r="56" spans="1:8" ht="18.75" x14ac:dyDescent="0.25">
      <c r="A56" s="44" t="s">
        <v>61</v>
      </c>
      <c r="B56" s="43">
        <v>97</v>
      </c>
      <c r="C56" s="27">
        <f t="shared" si="14"/>
        <v>97.297297297297305</v>
      </c>
      <c r="D56" s="54">
        <f t="shared" si="15"/>
        <v>3.0555555555555891E-3</v>
      </c>
      <c r="E56" s="55" t="str">
        <f>VLOOKUP(A56,Соответствие!A:B,2,FALSE)</f>
        <v>newUserRegistration</v>
      </c>
      <c r="F56" s="59">
        <f t="shared" si="16"/>
        <v>32.432432432432435</v>
      </c>
      <c r="G56" s="50">
        <f>VLOOKUP(E56,SummaryReport!A:J,8,FALSE)</f>
        <v>32</v>
      </c>
      <c r="H56" s="25">
        <f t="shared" si="17"/>
        <v>-1.3513513513513598E-2</v>
      </c>
    </row>
    <row r="57" spans="1:8" ht="37.5" x14ac:dyDescent="0.25">
      <c r="A57" s="44" t="s">
        <v>63</v>
      </c>
      <c r="B57" s="43">
        <v>97</v>
      </c>
      <c r="C57" s="27">
        <f t="shared" si="14"/>
        <v>97.297297297297305</v>
      </c>
      <c r="D57" s="54">
        <f t="shared" si="15"/>
        <v>3.0555555555555891E-3</v>
      </c>
      <c r="E57" s="55" t="str">
        <f>VLOOKUP(A57,Соответствие!A:B,2,FALSE)</f>
        <v>continueButtonClick</v>
      </c>
      <c r="F57" s="59">
        <f t="shared" si="16"/>
        <v>32.432432432432435</v>
      </c>
      <c r="G57" s="50">
        <f>VLOOKUP(E57,SummaryReport!A:J,8,FALSE)</f>
        <v>32</v>
      </c>
      <c r="H57" s="25">
        <f t="shared" si="17"/>
        <v>-1.3513513513513598E-2</v>
      </c>
    </row>
    <row r="58" spans="1:8" ht="19.5" thickBot="1" x14ac:dyDescent="0.3">
      <c r="A58" s="45" t="s">
        <v>7</v>
      </c>
      <c r="B58" s="46">
        <f>SUM(B46:B57)</f>
        <v>2944</v>
      </c>
      <c r="C58" s="26">
        <f>SUM(C46:C57)</f>
        <v>2924.3895189014092</v>
      </c>
      <c r="D58" s="24">
        <f t="shared" si="15"/>
        <v>-6.7058375677524484E-3</v>
      </c>
    </row>
    <row r="69" spans="1:9" x14ac:dyDescent="0.25">
      <c r="C69" s="34" t="s">
        <v>74</v>
      </c>
      <c r="D69" s="34"/>
      <c r="E69" s="34"/>
      <c r="F69" s="34"/>
      <c r="G69" s="34"/>
      <c r="H69" s="34"/>
    </row>
    <row r="70" spans="1:9" x14ac:dyDescent="0.25">
      <c r="B70" t="s">
        <v>83</v>
      </c>
      <c r="C70" t="s">
        <v>73</v>
      </c>
      <c r="D70" t="s">
        <v>69</v>
      </c>
      <c r="E70" t="s">
        <v>71</v>
      </c>
      <c r="F70" t="s">
        <v>70</v>
      </c>
      <c r="G70" t="s">
        <v>72</v>
      </c>
      <c r="H70" t="s">
        <v>82</v>
      </c>
    </row>
    <row r="71" spans="1:9" x14ac:dyDescent="0.25">
      <c r="A71" t="s">
        <v>64</v>
      </c>
      <c r="B71" s="35">
        <f>124/3</f>
        <v>41.333333333333336</v>
      </c>
      <c r="C71" s="39">
        <v>57</v>
      </c>
      <c r="D71" s="35">
        <f>60/C71</f>
        <v>1.0526315789473684</v>
      </c>
      <c r="E71" s="49">
        <v>20</v>
      </c>
      <c r="F71" s="47">
        <f>B71/(D71*E71)</f>
        <v>1.9633333333333336</v>
      </c>
      <c r="G71" s="20">
        <f>ROUND(F71,0)</f>
        <v>2</v>
      </c>
      <c r="H71" s="20">
        <f>G71*D71*E71</f>
        <v>42.105263157894733</v>
      </c>
      <c r="I71" s="33">
        <f>1-B71/H71</f>
        <v>1.8333333333333202E-2</v>
      </c>
    </row>
    <row r="72" spans="1:9" x14ac:dyDescent="0.25">
      <c r="A72" t="s">
        <v>65</v>
      </c>
      <c r="B72" s="35">
        <f>150/3</f>
        <v>50</v>
      </c>
      <c r="C72" s="39">
        <v>25</v>
      </c>
      <c r="D72" s="35">
        <f t="shared" ref="D72:D75" si="18">60/C72</f>
        <v>2.4</v>
      </c>
      <c r="E72" s="49">
        <v>20</v>
      </c>
      <c r="F72" s="47">
        <f>B72/(D72*E72)</f>
        <v>1.0416666666666667</v>
      </c>
      <c r="G72" s="20">
        <f t="shared" ref="G72:G75" si="19">ROUND(F72,0)</f>
        <v>1</v>
      </c>
      <c r="H72" s="20">
        <f t="shared" ref="H72:H75" si="20">G72*D72*E72</f>
        <v>48</v>
      </c>
      <c r="I72" s="33">
        <f>1-B72/H72</f>
        <v>-4.1666666666666741E-2</v>
      </c>
    </row>
    <row r="73" spans="1:9" x14ac:dyDescent="0.25">
      <c r="A73" t="s">
        <v>66</v>
      </c>
      <c r="B73" s="36">
        <f>30/3</f>
        <v>10</v>
      </c>
      <c r="C73" s="48">
        <v>115</v>
      </c>
      <c r="D73" s="35">
        <f t="shared" si="18"/>
        <v>0.52173913043478259</v>
      </c>
      <c r="E73" s="49">
        <v>20</v>
      </c>
      <c r="F73" s="47">
        <f>B73/(D73*E73)</f>
        <v>0.95833333333333337</v>
      </c>
      <c r="G73" s="20">
        <v>1</v>
      </c>
      <c r="H73" s="20">
        <f t="shared" si="20"/>
        <v>10.434782608695652</v>
      </c>
      <c r="I73" s="33">
        <f>1-B73/H73</f>
        <v>4.166666666666663E-2</v>
      </c>
    </row>
    <row r="74" spans="1:9" x14ac:dyDescent="0.25">
      <c r="A74" t="s">
        <v>67</v>
      </c>
      <c r="B74" s="35">
        <f>20/3</f>
        <v>6.666666666666667</v>
      </c>
      <c r="C74" s="39">
        <v>180</v>
      </c>
      <c r="D74" s="35">
        <f t="shared" si="18"/>
        <v>0.33333333333333331</v>
      </c>
      <c r="E74" s="49">
        <v>20</v>
      </c>
      <c r="F74" s="47">
        <f>B74/(D74*E74)</f>
        <v>1.0000000000000002</v>
      </c>
      <c r="G74" s="20">
        <v>1</v>
      </c>
      <c r="H74" s="20">
        <f t="shared" si="20"/>
        <v>6.6666666666666661</v>
      </c>
      <c r="I74" s="33">
        <f>1-B74/H74</f>
        <v>0</v>
      </c>
    </row>
    <row r="75" spans="1:9" x14ac:dyDescent="0.25">
      <c r="A75" t="s">
        <v>68</v>
      </c>
      <c r="B75" s="35">
        <f>120/3</f>
        <v>40</v>
      </c>
      <c r="C75" s="39">
        <v>30</v>
      </c>
      <c r="D75" s="35">
        <f t="shared" si="18"/>
        <v>2</v>
      </c>
      <c r="E75" s="49">
        <v>20</v>
      </c>
      <c r="F75" s="47">
        <f>B75/(D75*E75)</f>
        <v>1</v>
      </c>
      <c r="G75" s="20">
        <f t="shared" si="19"/>
        <v>1</v>
      </c>
      <c r="H75" s="20">
        <f t="shared" si="20"/>
        <v>40</v>
      </c>
      <c r="I75" s="33">
        <f>1-B75/H75</f>
        <v>0</v>
      </c>
    </row>
    <row r="76" spans="1:9" x14ac:dyDescent="0.25">
      <c r="G76" s="20">
        <f>SUM(G71:G75)</f>
        <v>6</v>
      </c>
    </row>
  </sheetData>
  <mergeCells count="1">
    <mergeCell ref="A44:B44"/>
  </mergeCell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>
      <selection activeCell="J25" sqref="J25"/>
    </sheetView>
  </sheetViews>
  <sheetFormatPr defaultRowHeight="15" x14ac:dyDescent="0.25"/>
  <cols>
    <col min="1" max="1" width="47.42578125" bestFit="1" customWidth="1"/>
    <col min="2" max="2" width="26.5703125" customWidth="1"/>
  </cols>
  <sheetData>
    <row r="1" spans="1:2" x14ac:dyDescent="0.25">
      <c r="A1" t="s">
        <v>78</v>
      </c>
      <c r="B1" t="s">
        <v>79</v>
      </c>
    </row>
    <row r="2" spans="1:2" x14ac:dyDescent="0.25">
      <c r="A2" t="str">
        <f>'Автоматизированный расчет'!A46</f>
        <v>Главная Welcome страница</v>
      </c>
      <c r="B2" t="s">
        <v>84</v>
      </c>
    </row>
    <row r="3" spans="1:2" x14ac:dyDescent="0.25">
      <c r="A3" t="str">
        <f>'Автоматизированный расчет'!A47</f>
        <v>Вход в систему</v>
      </c>
      <c r="B3" t="s">
        <v>21</v>
      </c>
    </row>
    <row r="4" spans="1:2" x14ac:dyDescent="0.25">
      <c r="A4" t="str">
        <f>'Автоматизированный расчет'!A48</f>
        <v>Переход на страницу поиска билетов</v>
      </c>
      <c r="B4" t="s">
        <v>85</v>
      </c>
    </row>
    <row r="5" spans="1:2" x14ac:dyDescent="0.25">
      <c r="A5" t="str">
        <f>'Автоматизированный расчет'!A49</f>
        <v xml:space="preserve">Заполнение полей для поиска билета </v>
      </c>
      <c r="B5" t="s">
        <v>86</v>
      </c>
    </row>
    <row r="6" spans="1:2" x14ac:dyDescent="0.25">
      <c r="A6" t="str">
        <f>'Автоматизированный расчет'!A50</f>
        <v xml:space="preserve">Выбор рейса из найденных </v>
      </c>
      <c r="B6" t="s">
        <v>87</v>
      </c>
    </row>
    <row r="7" spans="1:2" x14ac:dyDescent="0.25">
      <c r="A7" t="str">
        <f>'Автоматизированный расчет'!A51</f>
        <v>Оплата билета</v>
      </c>
      <c r="B7" t="s">
        <v>88</v>
      </c>
    </row>
    <row r="8" spans="1:2" x14ac:dyDescent="0.25">
      <c r="A8" t="str">
        <f>'Автоматизированный расчет'!A52</f>
        <v>Просмотр квитанций</v>
      </c>
      <c r="B8" t="s">
        <v>89</v>
      </c>
    </row>
    <row r="9" spans="1:2" x14ac:dyDescent="0.25">
      <c r="A9" t="str">
        <f>'Автоматизированный расчет'!A53</f>
        <v xml:space="preserve">Отмена бронирования </v>
      </c>
      <c r="B9" t="s">
        <v>90</v>
      </c>
    </row>
    <row r="10" spans="1:2" x14ac:dyDescent="0.25">
      <c r="A10" t="str">
        <f>'Автоматизированный расчет'!A54</f>
        <v>Выход из системы</v>
      </c>
      <c r="B10" t="s">
        <v>22</v>
      </c>
    </row>
    <row r="11" spans="1:2" x14ac:dyDescent="0.25">
      <c r="A11" t="str">
        <f>'Автоматизированный расчет'!A55</f>
        <v>Перход на страницу регистрации</v>
      </c>
      <c r="B11" t="s">
        <v>91</v>
      </c>
    </row>
    <row r="12" spans="1:2" x14ac:dyDescent="0.25">
      <c r="A12" t="str">
        <f>'Автоматизированный расчет'!A56</f>
        <v>Заполнение полей регистарции</v>
      </c>
      <c r="B12" t="s">
        <v>92</v>
      </c>
    </row>
    <row r="13" spans="1:2" x14ac:dyDescent="0.25">
      <c r="A13" t="str">
        <f>'Автоматизированный расчет'!A57</f>
        <v>Переход на следуюущий эран после регистарции</v>
      </c>
      <c r="B13" t="s">
        <v>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7"/>
  <sheetViews>
    <sheetView workbookViewId="0">
      <selection activeCell="O13" sqref="O13"/>
    </sheetView>
  </sheetViews>
  <sheetFormatPr defaultRowHeight="15" x14ac:dyDescent="0.25"/>
  <cols>
    <col min="1" max="1" width="36.42578125" bestFit="1" customWidth="1"/>
    <col min="16" max="16" width="37.5703125" customWidth="1"/>
  </cols>
  <sheetData>
    <row r="1" spans="1:10" x14ac:dyDescent="0.25">
      <c r="A1" s="101" t="s">
        <v>94</v>
      </c>
      <c r="B1" s="101" t="s">
        <v>80</v>
      </c>
      <c r="C1" s="101">
        <v>0</v>
      </c>
      <c r="D1" s="101">
        <v>0</v>
      </c>
      <c r="E1" s="101">
        <v>0.72799999999999998</v>
      </c>
      <c r="F1" s="101">
        <v>0.14799999999999999</v>
      </c>
      <c r="G1" s="101">
        <v>0.63300000000000001</v>
      </c>
      <c r="H1" s="101">
        <v>169</v>
      </c>
      <c r="I1" s="101">
        <v>0</v>
      </c>
      <c r="J1" s="101">
        <v>0</v>
      </c>
    </row>
    <row r="2" spans="1:10" x14ac:dyDescent="0.25">
      <c r="A2" s="101" t="s">
        <v>89</v>
      </c>
      <c r="B2" s="101" t="s">
        <v>80</v>
      </c>
      <c r="C2" s="101">
        <v>0</v>
      </c>
      <c r="D2" s="101">
        <v>0</v>
      </c>
      <c r="E2" s="101">
        <v>0.156</v>
      </c>
      <c r="F2" s="101">
        <v>1.2999999999999999E-2</v>
      </c>
      <c r="G2" s="101">
        <v>0.128</v>
      </c>
      <c r="H2" s="101">
        <v>97</v>
      </c>
      <c r="I2" s="101">
        <v>0</v>
      </c>
      <c r="J2" s="101">
        <v>0</v>
      </c>
    </row>
    <row r="3" spans="1:10" x14ac:dyDescent="0.25">
      <c r="A3" s="101" t="s">
        <v>90</v>
      </c>
      <c r="B3" s="101" t="s">
        <v>80</v>
      </c>
      <c r="C3" s="101">
        <v>0</v>
      </c>
      <c r="D3" s="101">
        <v>0</v>
      </c>
      <c r="E3" s="101">
        <v>6.3E-2</v>
      </c>
      <c r="F3" s="101">
        <v>0.01</v>
      </c>
      <c r="G3" s="101">
        <v>5.8999999999999997E-2</v>
      </c>
      <c r="H3" s="101">
        <v>24</v>
      </c>
      <c r="I3" s="101">
        <v>0</v>
      </c>
      <c r="J3" s="101">
        <v>0</v>
      </c>
    </row>
    <row r="4" spans="1:10" x14ac:dyDescent="0.25">
      <c r="A4" s="101" t="s">
        <v>87</v>
      </c>
      <c r="B4" s="101" t="s">
        <v>80</v>
      </c>
      <c r="C4" s="101">
        <v>0</v>
      </c>
      <c r="D4" s="101">
        <v>0</v>
      </c>
      <c r="E4" s="101">
        <v>7.1999999999999995E-2</v>
      </c>
      <c r="F4" s="101">
        <v>0.01</v>
      </c>
      <c r="G4" s="101">
        <v>6.3E-2</v>
      </c>
      <c r="H4" s="101">
        <v>92</v>
      </c>
      <c r="I4" s="101">
        <v>0</v>
      </c>
      <c r="J4" s="101">
        <v>0</v>
      </c>
    </row>
    <row r="5" spans="1:10" x14ac:dyDescent="0.25">
      <c r="A5" s="101" t="s">
        <v>93</v>
      </c>
      <c r="B5" s="101" t="s">
        <v>80</v>
      </c>
      <c r="C5" s="101">
        <v>0</v>
      </c>
      <c r="D5" s="101">
        <v>0</v>
      </c>
      <c r="E5" s="101">
        <v>0.123</v>
      </c>
      <c r="F5" s="101">
        <v>1.2999999999999999E-2</v>
      </c>
      <c r="G5" s="101">
        <v>0.10199999999999999</v>
      </c>
      <c r="H5" s="101">
        <v>32</v>
      </c>
      <c r="I5" s="101">
        <v>0</v>
      </c>
      <c r="J5" s="101">
        <v>0</v>
      </c>
    </row>
    <row r="6" spans="1:10" x14ac:dyDescent="0.25">
      <c r="A6" s="101" t="s">
        <v>85</v>
      </c>
      <c r="B6" s="101" t="s">
        <v>80</v>
      </c>
      <c r="C6" s="101">
        <v>0</v>
      </c>
      <c r="D6" s="101">
        <v>0</v>
      </c>
      <c r="E6" s="101">
        <v>0.13400000000000001</v>
      </c>
      <c r="F6" s="101">
        <v>1.0999999999999999E-2</v>
      </c>
      <c r="G6" s="101">
        <v>0.128</v>
      </c>
      <c r="H6" s="101">
        <v>98</v>
      </c>
      <c r="I6" s="101">
        <v>0</v>
      </c>
      <c r="J6" s="101">
        <v>0</v>
      </c>
    </row>
    <row r="7" spans="1:10" x14ac:dyDescent="0.25">
      <c r="A7" s="101" t="s">
        <v>21</v>
      </c>
      <c r="B7" s="101" t="s">
        <v>80</v>
      </c>
      <c r="C7" s="101">
        <v>0</v>
      </c>
      <c r="D7" s="101">
        <v>0</v>
      </c>
      <c r="E7" s="101">
        <v>0.14399999999999999</v>
      </c>
      <c r="F7" s="101">
        <v>1.4999999999999999E-2</v>
      </c>
      <c r="G7" s="101">
        <v>0.107</v>
      </c>
      <c r="H7" s="101">
        <v>136</v>
      </c>
      <c r="I7" s="101">
        <v>0</v>
      </c>
      <c r="J7" s="101">
        <v>0</v>
      </c>
    </row>
    <row r="8" spans="1:10" x14ac:dyDescent="0.25">
      <c r="A8" s="101" t="s">
        <v>22</v>
      </c>
      <c r="B8" s="101" t="s">
        <v>80</v>
      </c>
      <c r="C8" s="101">
        <v>0</v>
      </c>
      <c r="D8" s="101">
        <v>0</v>
      </c>
      <c r="E8" s="101">
        <v>0.13300000000000001</v>
      </c>
      <c r="F8" s="101">
        <v>1.7999999999999999E-2</v>
      </c>
      <c r="G8" s="101">
        <v>0.1</v>
      </c>
      <c r="H8" s="101">
        <v>107</v>
      </c>
      <c r="I8" s="101">
        <v>0</v>
      </c>
      <c r="J8" s="101">
        <v>0</v>
      </c>
    </row>
    <row r="9" spans="1:10" x14ac:dyDescent="0.25">
      <c r="A9" s="101" t="s">
        <v>92</v>
      </c>
      <c r="B9" s="101" t="s">
        <v>80</v>
      </c>
      <c r="C9" s="101">
        <v>0</v>
      </c>
      <c r="D9" s="101">
        <v>0</v>
      </c>
      <c r="E9" s="101">
        <v>6.6000000000000003E-2</v>
      </c>
      <c r="F9" s="101">
        <v>1.0999999999999999E-2</v>
      </c>
      <c r="G9" s="101">
        <v>6.3E-2</v>
      </c>
      <c r="H9" s="101">
        <v>32</v>
      </c>
      <c r="I9" s="101">
        <v>0</v>
      </c>
      <c r="J9" s="101">
        <v>0</v>
      </c>
    </row>
    <row r="10" spans="1:10" x14ac:dyDescent="0.25">
      <c r="A10" s="101" t="s">
        <v>84</v>
      </c>
      <c r="B10" s="101" t="s">
        <v>80</v>
      </c>
      <c r="C10" s="101">
        <v>0</v>
      </c>
      <c r="D10" s="101">
        <v>0</v>
      </c>
      <c r="E10" s="101">
        <v>0.105</v>
      </c>
      <c r="F10" s="101">
        <v>1.0999999999999999E-2</v>
      </c>
      <c r="G10" s="101">
        <v>8.4000000000000005E-2</v>
      </c>
      <c r="H10" s="101">
        <v>169</v>
      </c>
      <c r="I10" s="101">
        <v>0</v>
      </c>
      <c r="J10" s="101">
        <v>0</v>
      </c>
    </row>
    <row r="11" spans="1:10" x14ac:dyDescent="0.25">
      <c r="A11" s="101" t="s">
        <v>88</v>
      </c>
      <c r="B11" s="101" t="s">
        <v>80</v>
      </c>
      <c r="C11" s="101">
        <v>0</v>
      </c>
      <c r="D11" s="101">
        <v>0</v>
      </c>
      <c r="E11" s="101">
        <v>8.4000000000000005E-2</v>
      </c>
      <c r="F11" s="101">
        <v>1.0999999999999999E-2</v>
      </c>
      <c r="G11" s="101">
        <v>6.2E-2</v>
      </c>
      <c r="H11" s="101">
        <v>58</v>
      </c>
      <c r="I11" s="101">
        <v>0</v>
      </c>
      <c r="J11" s="101">
        <v>0</v>
      </c>
    </row>
    <row r="12" spans="1:10" x14ac:dyDescent="0.25">
      <c r="A12" s="101" t="s">
        <v>91</v>
      </c>
      <c r="B12" s="101" t="s">
        <v>80</v>
      </c>
      <c r="C12" s="101">
        <v>0</v>
      </c>
      <c r="D12" s="101">
        <v>0</v>
      </c>
      <c r="E12" s="101">
        <v>5.8999999999999997E-2</v>
      </c>
      <c r="F12" s="101">
        <v>0.01</v>
      </c>
      <c r="G12" s="101">
        <v>5.6000000000000001E-2</v>
      </c>
      <c r="H12" s="101">
        <v>32</v>
      </c>
      <c r="I12" s="101">
        <v>0</v>
      </c>
      <c r="J12" s="101">
        <v>0</v>
      </c>
    </row>
    <row r="13" spans="1:10" x14ac:dyDescent="0.25">
      <c r="A13" s="101" t="s">
        <v>86</v>
      </c>
      <c r="B13" s="101" t="s">
        <v>80</v>
      </c>
      <c r="C13" s="101">
        <v>0</v>
      </c>
      <c r="D13" s="101">
        <v>0</v>
      </c>
      <c r="E13" s="101">
        <v>0.154</v>
      </c>
      <c r="F13" s="101">
        <v>1.6E-2</v>
      </c>
      <c r="G13" s="101">
        <v>6.4000000000000001E-2</v>
      </c>
      <c r="H13" s="101">
        <v>98</v>
      </c>
      <c r="I13" s="101">
        <v>0</v>
      </c>
      <c r="J13" s="101">
        <v>0</v>
      </c>
    </row>
    <row r="14" spans="1:10" x14ac:dyDescent="0.25">
      <c r="A14" s="101" t="s">
        <v>95</v>
      </c>
      <c r="B14" s="101" t="s">
        <v>80</v>
      </c>
      <c r="C14" s="101">
        <v>0</v>
      </c>
      <c r="D14" s="101">
        <v>0</v>
      </c>
      <c r="E14" s="101">
        <v>0.38500000000000001</v>
      </c>
      <c r="F14" s="101">
        <v>2.9000000000000001E-2</v>
      </c>
      <c r="G14" s="101">
        <v>0.38300000000000001</v>
      </c>
      <c r="H14" s="101">
        <v>14</v>
      </c>
      <c r="I14" s="101">
        <v>0</v>
      </c>
      <c r="J14" s="101">
        <v>0</v>
      </c>
    </row>
    <row r="15" spans="1:10" x14ac:dyDescent="0.25">
      <c r="A15" s="101" t="s">
        <v>96</v>
      </c>
      <c r="B15" s="101" t="s">
        <v>80</v>
      </c>
      <c r="C15" s="101">
        <v>0</v>
      </c>
      <c r="D15" s="101">
        <v>0</v>
      </c>
      <c r="E15" s="101">
        <v>0.33700000000000002</v>
      </c>
      <c r="F15" s="101">
        <v>2.8000000000000001E-2</v>
      </c>
      <c r="G15" s="101">
        <v>0.33700000000000002</v>
      </c>
      <c r="H15" s="101">
        <v>6</v>
      </c>
      <c r="I15" s="101">
        <v>0</v>
      </c>
      <c r="J15" s="101">
        <v>0</v>
      </c>
    </row>
    <row r="16" spans="1:10" x14ac:dyDescent="0.25">
      <c r="A16" s="101" t="s">
        <v>97</v>
      </c>
      <c r="B16" s="101" t="s">
        <v>80</v>
      </c>
      <c r="C16" s="101">
        <v>0</v>
      </c>
      <c r="D16" s="101">
        <v>0</v>
      </c>
      <c r="E16" s="101">
        <v>0.72799999999999998</v>
      </c>
      <c r="F16" s="101">
        <v>5.0999999999999997E-2</v>
      </c>
      <c r="G16" s="101">
        <v>0.68400000000000005</v>
      </c>
      <c r="H16" s="101">
        <v>59</v>
      </c>
      <c r="I16" s="101">
        <v>0</v>
      </c>
      <c r="J16" s="101">
        <v>0</v>
      </c>
    </row>
    <row r="17" spans="1:25" x14ac:dyDescent="0.25">
      <c r="A17" s="101" t="s">
        <v>98</v>
      </c>
      <c r="B17" s="101" t="s">
        <v>80</v>
      </c>
      <c r="C17" s="101">
        <v>0</v>
      </c>
      <c r="D17" s="101">
        <v>0</v>
      </c>
      <c r="E17" s="101">
        <v>0.36899999999999999</v>
      </c>
      <c r="F17" s="101">
        <v>3.1E-2</v>
      </c>
      <c r="G17" s="101">
        <v>0.36</v>
      </c>
      <c r="H17" s="101">
        <v>24</v>
      </c>
      <c r="I17" s="101">
        <v>0</v>
      </c>
      <c r="J17" s="101">
        <v>0</v>
      </c>
    </row>
    <row r="18" spans="1:25" x14ac:dyDescent="0.25">
      <c r="A18" s="101" t="s">
        <v>99</v>
      </c>
      <c r="B18" s="101" t="s">
        <v>80</v>
      </c>
      <c r="C18" s="101">
        <v>0</v>
      </c>
      <c r="D18" s="101">
        <v>0</v>
      </c>
      <c r="E18" s="101">
        <v>0.33</v>
      </c>
      <c r="F18" s="101">
        <v>3.3000000000000002E-2</v>
      </c>
      <c r="G18" s="101">
        <v>0.29299999999999998</v>
      </c>
      <c r="H18" s="101">
        <v>32</v>
      </c>
      <c r="I18" s="101">
        <v>0</v>
      </c>
      <c r="J18" s="101">
        <v>0</v>
      </c>
      <c r="N18" s="91"/>
      <c r="O18" s="91"/>
      <c r="P18" s="91"/>
      <c r="Q18" s="91"/>
      <c r="R18" s="91"/>
      <c r="S18" s="91"/>
      <c r="T18" s="91"/>
      <c r="U18" s="91"/>
      <c r="V18" s="91"/>
    </row>
    <row r="19" spans="1:25" x14ac:dyDescent="0.25">
      <c r="A19" s="101" t="s">
        <v>100</v>
      </c>
      <c r="B19" s="101" t="s">
        <v>80</v>
      </c>
      <c r="C19" s="101">
        <v>0</v>
      </c>
      <c r="D19" s="101">
        <v>0</v>
      </c>
      <c r="E19" s="101">
        <v>0.59799999999999998</v>
      </c>
      <c r="F19" s="101">
        <v>4.4999999999999998E-2</v>
      </c>
      <c r="G19" s="101">
        <v>0.53200000000000003</v>
      </c>
      <c r="H19" s="101">
        <v>34</v>
      </c>
      <c r="I19" s="101">
        <v>0</v>
      </c>
      <c r="J19" s="101">
        <v>0</v>
      </c>
      <c r="N19" s="91"/>
      <c r="O19" s="91"/>
      <c r="P19" s="91"/>
      <c r="Q19" s="91"/>
      <c r="R19" s="91"/>
      <c r="S19" s="91"/>
      <c r="T19" s="91"/>
      <c r="U19" s="91"/>
      <c r="V19" s="91"/>
    </row>
    <row r="20" spans="1:25" x14ac:dyDescent="0.25">
      <c r="A20" s="92"/>
      <c r="B20" s="92"/>
      <c r="C20" s="92"/>
      <c r="D20" s="92"/>
      <c r="E20" s="92"/>
      <c r="F20" s="92"/>
      <c r="G20" s="92"/>
      <c r="H20" s="92"/>
      <c r="I20" s="92"/>
      <c r="J20" s="92"/>
      <c r="N20" s="91"/>
      <c r="O20" s="91"/>
      <c r="P20" s="91"/>
      <c r="Q20" s="91"/>
      <c r="R20" s="91"/>
      <c r="S20" s="91"/>
      <c r="T20" s="91"/>
      <c r="U20" s="91"/>
      <c r="V20" s="91"/>
    </row>
    <row r="21" spans="1:25" x14ac:dyDescent="0.25">
      <c r="A21" s="92"/>
      <c r="B21" s="92"/>
      <c r="C21" s="92"/>
      <c r="D21" s="92"/>
      <c r="E21" s="92"/>
      <c r="F21" s="92"/>
      <c r="G21" s="92"/>
      <c r="H21" s="92"/>
      <c r="I21" s="92"/>
      <c r="J21" s="92"/>
      <c r="N21" s="91"/>
      <c r="O21" s="91"/>
      <c r="P21" s="91"/>
      <c r="Q21" s="91"/>
      <c r="R21" s="91"/>
      <c r="S21" s="91"/>
      <c r="T21" s="91"/>
      <c r="U21" s="91"/>
      <c r="V21" s="91"/>
    </row>
    <row r="22" spans="1:25" x14ac:dyDescent="0.25">
      <c r="N22" s="91"/>
      <c r="O22" s="91"/>
      <c r="P22" s="91"/>
      <c r="Q22" s="91"/>
      <c r="R22" s="91"/>
      <c r="S22" s="91"/>
      <c r="T22" s="91"/>
      <c r="U22" s="91"/>
      <c r="V22" s="91"/>
    </row>
    <row r="23" spans="1:25" x14ac:dyDescent="0.25">
      <c r="N23" s="91"/>
      <c r="O23" s="91"/>
      <c r="P23" s="91"/>
      <c r="Q23" s="91"/>
      <c r="R23" s="91"/>
      <c r="S23" s="91"/>
      <c r="T23" s="91"/>
      <c r="U23" s="91"/>
      <c r="V23" s="91"/>
    </row>
    <row r="24" spans="1:25" x14ac:dyDescent="0.25">
      <c r="N24" s="91"/>
      <c r="O24" s="91"/>
      <c r="P24" s="91"/>
      <c r="Q24" s="91"/>
      <c r="R24" s="91"/>
      <c r="S24" s="91"/>
      <c r="T24" s="91"/>
      <c r="U24" s="91"/>
      <c r="V24" s="91"/>
    </row>
    <row r="25" spans="1:25" x14ac:dyDescent="0.25">
      <c r="N25" s="91"/>
      <c r="O25" s="91"/>
      <c r="P25" s="91"/>
      <c r="Q25" s="91"/>
      <c r="R25" s="91"/>
      <c r="S25" s="91"/>
      <c r="T25" s="91"/>
      <c r="U25" s="91"/>
      <c r="V25" s="91"/>
    </row>
    <row r="26" spans="1:25" x14ac:dyDescent="0.25">
      <c r="N26" s="91"/>
      <c r="O26" s="91"/>
      <c r="P26" s="92"/>
      <c r="Q26" s="92"/>
      <c r="R26" s="92"/>
      <c r="S26" s="92"/>
      <c r="T26" s="92"/>
      <c r="U26" s="92"/>
      <c r="V26" s="92"/>
      <c r="W26" s="92"/>
      <c r="X26" s="92"/>
      <c r="Y26" s="92"/>
    </row>
    <row r="27" spans="1:25" x14ac:dyDescent="0.25">
      <c r="N27" s="91"/>
      <c r="O27" s="91"/>
      <c r="P27" s="92"/>
      <c r="Q27" s="92"/>
      <c r="R27" s="92"/>
      <c r="S27" s="92"/>
      <c r="T27" s="92"/>
      <c r="U27" s="92"/>
      <c r="V27" s="92"/>
      <c r="W27" s="92"/>
      <c r="X27" s="92"/>
      <c r="Y27" s="92"/>
    </row>
    <row r="28" spans="1:25" x14ac:dyDescent="0.25">
      <c r="N28" s="91"/>
      <c r="O28" s="91"/>
      <c r="P28" s="92"/>
      <c r="Q28" s="92"/>
      <c r="R28" s="92"/>
      <c r="S28" s="92"/>
      <c r="T28" s="92"/>
      <c r="U28" s="92"/>
      <c r="V28" s="92"/>
      <c r="W28" s="92"/>
      <c r="X28" s="92"/>
      <c r="Y28" s="92"/>
    </row>
    <row r="29" spans="1:25" x14ac:dyDescent="0.25">
      <c r="N29" s="91"/>
      <c r="O29" s="91"/>
      <c r="P29" s="92"/>
      <c r="Q29" s="92"/>
      <c r="R29" s="92"/>
      <c r="S29" s="92"/>
      <c r="T29" s="92"/>
      <c r="U29" s="92"/>
      <c r="V29" s="92"/>
      <c r="W29" s="92"/>
      <c r="X29" s="92"/>
      <c r="Y29" s="92"/>
    </row>
    <row r="30" spans="1:25" x14ac:dyDescent="0.25">
      <c r="P30" s="92"/>
      <c r="Q30" s="92"/>
      <c r="R30" s="92"/>
      <c r="S30" s="92"/>
      <c r="T30" s="92"/>
      <c r="U30" s="92"/>
      <c r="V30" s="92"/>
      <c r="W30" s="92"/>
      <c r="X30" s="92"/>
      <c r="Y30" s="92"/>
    </row>
    <row r="31" spans="1:25" x14ac:dyDescent="0.25">
      <c r="P31" s="92"/>
      <c r="Q31" s="92"/>
      <c r="R31" s="92"/>
      <c r="S31" s="92"/>
      <c r="T31" s="92"/>
      <c r="U31" s="92"/>
      <c r="V31" s="92"/>
      <c r="W31" s="92"/>
      <c r="X31" s="92"/>
      <c r="Y31" s="92"/>
    </row>
    <row r="32" spans="1:25" x14ac:dyDescent="0.25">
      <c r="P32" s="92"/>
      <c r="Q32" s="92"/>
      <c r="R32" s="92"/>
      <c r="S32" s="92"/>
      <c r="T32" s="92"/>
      <c r="U32" s="92"/>
      <c r="V32" s="92"/>
      <c r="W32" s="92"/>
      <c r="X32" s="92"/>
      <c r="Y32" s="92"/>
    </row>
    <row r="33" spans="16:25" x14ac:dyDescent="0.25">
      <c r="P33" s="92"/>
      <c r="Q33" s="92"/>
      <c r="R33" s="92"/>
      <c r="S33" s="92"/>
      <c r="T33" s="92"/>
      <c r="U33" s="92"/>
      <c r="V33" s="92"/>
      <c r="W33" s="92"/>
      <c r="X33" s="92"/>
      <c r="Y33" s="92"/>
    </row>
    <row r="34" spans="16:25" x14ac:dyDescent="0.25">
      <c r="P34" s="92"/>
      <c r="Q34" s="92"/>
      <c r="R34" s="92"/>
      <c r="S34" s="92"/>
      <c r="T34" s="92"/>
      <c r="U34" s="92"/>
      <c r="V34" s="92"/>
      <c r="W34" s="92"/>
      <c r="X34" s="92"/>
      <c r="Y34" s="92"/>
    </row>
    <row r="35" spans="16:25" x14ac:dyDescent="0.25">
      <c r="P35" s="92"/>
      <c r="Q35" s="92"/>
      <c r="R35" s="92"/>
      <c r="S35" s="92"/>
      <c r="T35" s="92"/>
      <c r="U35" s="92"/>
      <c r="V35" s="92"/>
      <c r="W35" s="92"/>
      <c r="X35" s="92"/>
      <c r="Y35" s="92"/>
    </row>
    <row r="36" spans="16:25" x14ac:dyDescent="0.25">
      <c r="P36" s="92"/>
      <c r="Q36" s="92"/>
      <c r="R36" s="92"/>
      <c r="S36" s="92"/>
      <c r="T36" s="92"/>
      <c r="U36" s="92"/>
      <c r="V36" s="92"/>
      <c r="W36" s="92"/>
      <c r="X36" s="92"/>
      <c r="Y36" s="92"/>
    </row>
    <row r="37" spans="16:25" x14ac:dyDescent="0.25">
      <c r="P37" s="92"/>
      <c r="Q37" s="92"/>
      <c r="R37" s="92"/>
      <c r="S37" s="92"/>
      <c r="T37" s="92"/>
      <c r="U37" s="92"/>
      <c r="V37" s="92"/>
      <c r="W37" s="92"/>
      <c r="X37" s="92"/>
      <c r="Y37" s="9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9:O44"/>
  <sheetViews>
    <sheetView topLeftCell="A25" workbookViewId="0">
      <selection activeCell="H17" sqref="H17"/>
    </sheetView>
  </sheetViews>
  <sheetFormatPr defaultColWidth="8.85546875" defaultRowHeight="15" x14ac:dyDescent="0.25"/>
  <cols>
    <col min="2" max="2" width="4.42578125" customWidth="1"/>
    <col min="3" max="4" width="9.140625" hidden="1" customWidth="1"/>
    <col min="5" max="5" width="20.42578125" customWidth="1"/>
    <col min="6" max="6" width="18.85546875" customWidth="1"/>
    <col min="7" max="7" width="15.28515625" customWidth="1"/>
    <col min="8" max="8" width="15.140625" customWidth="1"/>
    <col min="9" max="9" width="14" customWidth="1"/>
    <col min="11" max="11" width="1.42578125" customWidth="1"/>
    <col min="12" max="12" width="40.28515625" customWidth="1"/>
    <col min="13" max="13" width="6" bestFit="1" customWidth="1"/>
    <col min="14" max="14" width="4.140625" bestFit="1" customWidth="1"/>
    <col min="15" max="15" width="5" bestFit="1" customWidth="1"/>
    <col min="16" max="16" width="14.140625" bestFit="1" customWidth="1"/>
    <col min="17" max="17" width="19.42578125" bestFit="1" customWidth="1"/>
  </cols>
  <sheetData>
    <row r="9" spans="5:9" x14ac:dyDescent="0.25">
      <c r="E9" s="100" t="s">
        <v>30</v>
      </c>
      <c r="F9" s="100"/>
      <c r="G9" s="100"/>
      <c r="H9" s="100"/>
      <c r="I9" s="100"/>
    </row>
    <row r="11" spans="5:9" ht="28.5" x14ac:dyDescent="0.25">
      <c r="E11" s="1" t="s">
        <v>11</v>
      </c>
      <c r="F11" s="1" t="s">
        <v>12</v>
      </c>
      <c r="G11" s="1" t="s">
        <v>13</v>
      </c>
      <c r="H11" s="1" t="s">
        <v>14</v>
      </c>
      <c r="I11" s="1" t="s">
        <v>15</v>
      </c>
    </row>
    <row r="12" spans="5:9" ht="15.75" x14ac:dyDescent="0.25">
      <c r="E12" s="2" t="s">
        <v>0</v>
      </c>
      <c r="F12" s="3" t="s">
        <v>21</v>
      </c>
      <c r="G12" s="4">
        <v>368</v>
      </c>
      <c r="H12" s="3">
        <f>121*3</f>
        <v>363</v>
      </c>
      <c r="I12" s="5">
        <f>1-G12/H12</f>
        <v>-1.377410468319562E-2</v>
      </c>
    </row>
    <row r="13" spans="5:9" ht="31.5" x14ac:dyDescent="0.25">
      <c r="E13" s="2" t="s">
        <v>1</v>
      </c>
      <c r="F13" s="3" t="s">
        <v>20</v>
      </c>
      <c r="G13" s="4">
        <v>251</v>
      </c>
      <c r="H13" s="3">
        <f>82*3</f>
        <v>246</v>
      </c>
      <c r="I13" s="5">
        <f t="shared" ref="I13:I18" si="0">1-G13/H13</f>
        <v>-2.0325203252032464E-2</v>
      </c>
    </row>
    <row r="14" spans="5:9" ht="31.5" x14ac:dyDescent="0.25">
      <c r="E14" s="2" t="s">
        <v>2</v>
      </c>
      <c r="F14" s="3" t="s">
        <v>23</v>
      </c>
      <c r="G14" s="4">
        <v>251</v>
      </c>
      <c r="H14" s="3">
        <f>82*3</f>
        <v>246</v>
      </c>
      <c r="I14" s="5">
        <f t="shared" si="0"/>
        <v>-2.0325203252032464E-2</v>
      </c>
    </row>
    <row r="15" spans="5:9" ht="15.75" x14ac:dyDescent="0.25">
      <c r="E15" s="2" t="s">
        <v>3</v>
      </c>
      <c r="F15" s="3" t="s">
        <v>16</v>
      </c>
      <c r="G15" s="4">
        <v>175</v>
      </c>
      <c r="H15" s="3">
        <f>56*3</f>
        <v>168</v>
      </c>
      <c r="I15" s="6">
        <f t="shared" si="0"/>
        <v>-4.1666666666666741E-2</v>
      </c>
    </row>
    <row r="16" spans="5:9" ht="31.5" x14ac:dyDescent="0.25">
      <c r="E16" s="2" t="s">
        <v>17</v>
      </c>
      <c r="F16" s="3" t="s">
        <v>19</v>
      </c>
      <c r="G16" s="4">
        <v>159</v>
      </c>
      <c r="H16" s="4">
        <f>56*3</f>
        <v>168</v>
      </c>
      <c r="I16" s="5">
        <f t="shared" si="0"/>
        <v>5.3571428571428603E-2</v>
      </c>
    </row>
    <row r="17" spans="5:9" ht="47.25" x14ac:dyDescent="0.25">
      <c r="E17" s="2" t="s">
        <v>5</v>
      </c>
      <c r="F17" s="3" t="s">
        <v>18</v>
      </c>
      <c r="G17" s="4">
        <v>73</v>
      </c>
      <c r="H17" s="3">
        <f>25*3</f>
        <v>75</v>
      </c>
      <c r="I17" s="5">
        <f t="shared" si="0"/>
        <v>2.6666666666666616E-2</v>
      </c>
    </row>
    <row r="18" spans="5:9" ht="15.75" x14ac:dyDescent="0.25">
      <c r="E18" s="2" t="s">
        <v>6</v>
      </c>
      <c r="F18" s="3" t="s">
        <v>22</v>
      </c>
      <c r="G18" s="4">
        <v>326</v>
      </c>
      <c r="H18" s="3">
        <f>104*3</f>
        <v>312</v>
      </c>
      <c r="I18" s="5">
        <f t="shared" si="0"/>
        <v>-4.4871794871794934E-2</v>
      </c>
    </row>
    <row r="23" spans="5:9" x14ac:dyDescent="0.25">
      <c r="E23" s="100" t="s">
        <v>28</v>
      </c>
      <c r="F23" s="100"/>
      <c r="G23" s="100"/>
      <c r="H23" s="100"/>
      <c r="I23" s="100"/>
    </row>
    <row r="25" spans="5:9" x14ac:dyDescent="0.25">
      <c r="E25" s="8" t="s">
        <v>11</v>
      </c>
      <c r="F25" s="8" t="s">
        <v>12</v>
      </c>
      <c r="G25" s="8" t="s">
        <v>13</v>
      </c>
      <c r="H25" s="8" t="s">
        <v>14</v>
      </c>
      <c r="I25" s="8" t="s">
        <v>15</v>
      </c>
    </row>
    <row r="26" spans="5:9" ht="15.75" x14ac:dyDescent="0.25">
      <c r="E26" s="13" t="s">
        <v>0</v>
      </c>
      <c r="F26" s="12" t="s">
        <v>21</v>
      </c>
      <c r="G26" s="10">
        <f>5*368</f>
        <v>1840</v>
      </c>
      <c r="H26" s="9">
        <f>721*3</f>
        <v>2163</v>
      </c>
      <c r="I26" s="11">
        <f>1-G26/H26</f>
        <v>0.14932963476652794</v>
      </c>
    </row>
    <row r="27" spans="5:9" ht="15.75" x14ac:dyDescent="0.25">
      <c r="E27" s="13" t="s">
        <v>1</v>
      </c>
      <c r="F27" s="12" t="s">
        <v>20</v>
      </c>
      <c r="G27" s="10">
        <f>5*251</f>
        <v>1255</v>
      </c>
      <c r="H27" s="9">
        <f>3*464</f>
        <v>1392</v>
      </c>
      <c r="I27" s="11">
        <f t="shared" ref="I27:I32" si="1">1-G27/H27</f>
        <v>9.8419540229885083E-2</v>
      </c>
    </row>
    <row r="28" spans="5:9" ht="15.75" x14ac:dyDescent="0.25">
      <c r="E28" s="13" t="s">
        <v>2</v>
      </c>
      <c r="F28" s="12" t="s">
        <v>23</v>
      </c>
      <c r="G28" s="10">
        <f>5*251</f>
        <v>1255</v>
      </c>
      <c r="H28" s="9">
        <f>3*462</f>
        <v>1386</v>
      </c>
      <c r="I28" s="11">
        <f t="shared" si="1"/>
        <v>9.4516594516594554E-2</v>
      </c>
    </row>
    <row r="29" spans="5:9" ht="15.75" x14ac:dyDescent="0.25">
      <c r="E29" s="13" t="s">
        <v>3</v>
      </c>
      <c r="F29" s="12" t="s">
        <v>16</v>
      </c>
      <c r="G29" s="10">
        <f>5*175</f>
        <v>875</v>
      </c>
      <c r="H29" s="9">
        <f>3*314</f>
        <v>942</v>
      </c>
      <c r="I29" s="7">
        <f t="shared" si="1"/>
        <v>7.1125265392781301E-2</v>
      </c>
    </row>
    <row r="30" spans="5:9" ht="15.75" x14ac:dyDescent="0.25">
      <c r="E30" s="13" t="s">
        <v>17</v>
      </c>
      <c r="F30" s="12" t="s">
        <v>19</v>
      </c>
      <c r="G30" s="10">
        <f>5*159</f>
        <v>795</v>
      </c>
      <c r="H30" s="9">
        <f>3*330</f>
        <v>990</v>
      </c>
      <c r="I30" s="11">
        <f t="shared" si="1"/>
        <v>0.19696969696969702</v>
      </c>
    </row>
    <row r="31" spans="5:9" ht="15.75" x14ac:dyDescent="0.25">
      <c r="E31" s="13" t="s">
        <v>5</v>
      </c>
      <c r="F31" s="12" t="s">
        <v>18</v>
      </c>
      <c r="G31" s="10">
        <f>5*73</f>
        <v>365</v>
      </c>
      <c r="H31" s="9">
        <f>3*141</f>
        <v>423</v>
      </c>
      <c r="I31" s="11">
        <f t="shared" si="1"/>
        <v>0.13711583924349879</v>
      </c>
    </row>
    <row r="32" spans="5:9" ht="15.75" x14ac:dyDescent="0.25">
      <c r="E32" s="13" t="s">
        <v>6</v>
      </c>
      <c r="F32" s="12" t="s">
        <v>22</v>
      </c>
      <c r="G32" s="10">
        <f>5*326</f>
        <v>1630</v>
      </c>
      <c r="H32" s="9">
        <f>3*599</f>
        <v>1797</v>
      </c>
      <c r="I32" s="11">
        <f t="shared" si="1"/>
        <v>9.2932665553700611E-2</v>
      </c>
    </row>
    <row r="35" spans="5:15" x14ac:dyDescent="0.25">
      <c r="E35" s="100" t="s">
        <v>29</v>
      </c>
      <c r="F35" s="100"/>
      <c r="G35" s="100"/>
      <c r="H35" s="100"/>
      <c r="I35" s="100"/>
    </row>
    <row r="37" spans="5:15" x14ac:dyDescent="0.25">
      <c r="E37" s="8" t="s">
        <v>11</v>
      </c>
      <c r="F37" s="8" t="s">
        <v>12</v>
      </c>
      <c r="G37" s="8" t="s">
        <v>13</v>
      </c>
      <c r="H37" s="8" t="s">
        <v>14</v>
      </c>
      <c r="I37" s="8" t="s">
        <v>15</v>
      </c>
      <c r="L37" s="14" t="s">
        <v>24</v>
      </c>
      <c r="M37" s="14" t="s">
        <v>25</v>
      </c>
      <c r="N37" s="14" t="s">
        <v>26</v>
      </c>
      <c r="O37" s="14" t="s">
        <v>27</v>
      </c>
    </row>
    <row r="38" spans="5:15" ht="15.75" x14ac:dyDescent="0.25">
      <c r="E38" s="13" t="s">
        <v>0</v>
      </c>
      <c r="F38" s="12" t="s">
        <v>21</v>
      </c>
      <c r="G38" s="10">
        <f>5*368</f>
        <v>1840</v>
      </c>
      <c r="H38" s="9">
        <v>2109</v>
      </c>
      <c r="I38" s="11">
        <f>1-G38/H38</f>
        <v>0.12754860123281175</v>
      </c>
      <c r="L38" s="14" t="s">
        <v>18</v>
      </c>
      <c r="M38" s="14">
        <v>377</v>
      </c>
      <c r="N38" s="14">
        <v>27</v>
      </c>
      <c r="O38" s="14">
        <v>0</v>
      </c>
    </row>
    <row r="39" spans="5:15" ht="15.75" x14ac:dyDescent="0.25">
      <c r="E39" s="13" t="s">
        <v>1</v>
      </c>
      <c r="F39" s="12" t="s">
        <v>20</v>
      </c>
      <c r="G39" s="10">
        <f>5*251</f>
        <v>1255</v>
      </c>
      <c r="H39" s="14">
        <v>1315</v>
      </c>
      <c r="I39" s="11">
        <f t="shared" ref="I39:I44" si="2">1-G39/H39</f>
        <v>4.5627376425855459E-2</v>
      </c>
      <c r="L39" s="14" t="s">
        <v>19</v>
      </c>
      <c r="M39" s="14">
        <v>998</v>
      </c>
      <c r="N39" s="14">
        <v>1</v>
      </c>
      <c r="O39" s="14">
        <v>0</v>
      </c>
    </row>
    <row r="40" spans="5:15" ht="15.75" x14ac:dyDescent="0.25">
      <c r="E40" s="13" t="s">
        <v>2</v>
      </c>
      <c r="F40" s="12" t="s">
        <v>23</v>
      </c>
      <c r="G40" s="10">
        <f>5*251</f>
        <v>1255</v>
      </c>
      <c r="H40" s="9">
        <v>1315</v>
      </c>
      <c r="I40" s="11">
        <f t="shared" si="2"/>
        <v>4.5627376425855459E-2</v>
      </c>
      <c r="L40" s="14" t="s">
        <v>20</v>
      </c>
      <c r="M40" s="14" t="s">
        <v>31</v>
      </c>
      <c r="N40" s="14">
        <v>0</v>
      </c>
      <c r="O40" s="14">
        <v>0</v>
      </c>
    </row>
    <row r="41" spans="5:15" ht="15.75" x14ac:dyDescent="0.25">
      <c r="E41" s="13" t="s">
        <v>3</v>
      </c>
      <c r="F41" s="12" t="s">
        <v>16</v>
      </c>
      <c r="G41" s="10">
        <f>5*175</f>
        <v>875</v>
      </c>
      <c r="H41" s="14">
        <v>924</v>
      </c>
      <c r="I41" s="7">
        <f t="shared" si="2"/>
        <v>5.3030303030302983E-2</v>
      </c>
      <c r="L41" s="14" t="s">
        <v>21</v>
      </c>
      <c r="M41" s="14" t="s">
        <v>32</v>
      </c>
      <c r="N41" s="14">
        <v>139</v>
      </c>
      <c r="O41" s="14">
        <v>0</v>
      </c>
    </row>
    <row r="42" spans="5:15" ht="15.75" x14ac:dyDescent="0.25">
      <c r="E42" s="13" t="s">
        <v>17</v>
      </c>
      <c r="F42" s="12" t="s">
        <v>19</v>
      </c>
      <c r="G42" s="10">
        <f>5*159</f>
        <v>795</v>
      </c>
      <c r="H42" s="14">
        <v>998</v>
      </c>
      <c r="I42" s="11">
        <f t="shared" si="2"/>
        <v>0.20340681362725455</v>
      </c>
      <c r="L42" s="14" t="s">
        <v>22</v>
      </c>
      <c r="M42" s="14" t="s">
        <v>33</v>
      </c>
      <c r="N42" s="14">
        <v>1</v>
      </c>
      <c r="O42" s="14">
        <v>0</v>
      </c>
    </row>
    <row r="43" spans="5:15" ht="15.75" x14ac:dyDescent="0.25">
      <c r="E43" s="13" t="s">
        <v>5</v>
      </c>
      <c r="F43" s="12" t="s">
        <v>18</v>
      </c>
      <c r="G43" s="10">
        <f>5*73</f>
        <v>365</v>
      </c>
      <c r="H43" s="14">
        <v>404</v>
      </c>
      <c r="I43" s="11">
        <f t="shared" si="2"/>
        <v>9.6534653465346509E-2</v>
      </c>
      <c r="L43" s="14" t="s">
        <v>16</v>
      </c>
      <c r="M43" s="14">
        <v>924</v>
      </c>
      <c r="N43" s="14">
        <v>0</v>
      </c>
      <c r="O43" s="14">
        <v>0</v>
      </c>
    </row>
    <row r="44" spans="5:15" ht="15.75" x14ac:dyDescent="0.25">
      <c r="E44" s="13" t="s">
        <v>6</v>
      </c>
      <c r="F44" s="12" t="s">
        <v>22</v>
      </c>
      <c r="G44" s="10">
        <f>5*326</f>
        <v>1630</v>
      </c>
      <c r="H44" s="9">
        <v>1675</v>
      </c>
      <c r="I44" s="11">
        <f t="shared" si="2"/>
        <v>2.68656716417911E-2</v>
      </c>
      <c r="L44" s="14" t="s">
        <v>23</v>
      </c>
      <c r="M44" s="14" t="s">
        <v>31</v>
      </c>
      <c r="N44" s="14">
        <v>0</v>
      </c>
      <c r="O44" s="14">
        <v>0</v>
      </c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Автоматизированный расчет</vt:lpstr>
      <vt:lpstr>Соответствие</vt:lpstr>
      <vt:lpstr>SummaryReport</vt:lpstr>
      <vt:lpstr>Шаблоны соотвествие профилю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Maxim Mironov</cp:lastModifiedBy>
  <dcterms:created xsi:type="dcterms:W3CDTF">2015-06-05T18:19:34Z</dcterms:created>
  <dcterms:modified xsi:type="dcterms:W3CDTF">2022-09-09T11:22:07Z</dcterms:modified>
</cp:coreProperties>
</file>