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hirotakahashi/Library/CloudStorage/Dropbox/_data/2023/20231031_992_pumpingRatio/"/>
    </mc:Choice>
  </mc:AlternateContent>
  <xr:revisionPtr revIDLastSave="0" documentId="13_ncr:1_{369F5498-3F1C-3D4F-AA1C-A25F4219D3B9}" xr6:coauthVersionLast="47" xr6:coauthVersionMax="47" xr10:uidLastSave="{00000000-0000-0000-0000-000000000000}"/>
  <bookViews>
    <workbookView xWindow="740" yWindow="4240" windowWidth="26560" windowHeight="15800" activeTab="3" xr2:uid="{FD09D515-1069-7344-A749-D9F3601E7F25}"/>
  </bookViews>
  <sheets>
    <sheet name="PhysicsConstants" sheetId="6" r:id="rId1"/>
    <sheet name="Akatsuka2020" sheetId="3" r:id="rId2"/>
    <sheet name="san10" sheetId="1" r:id="rId3"/>
    <sheet name="referred" sheetId="7" r:id="rId4"/>
    <sheet name="easiest" sheetId="2" r:id="rId5"/>
    <sheet name="sansonetti" sheetId="5" r:id="rId6"/>
    <sheet name="driveTransition" sheetId="4" r:id="rId7"/>
    <sheet name="Transition-5S5P" sheetId="8" r:id="rId8"/>
    <sheet name="Transition-1D2" sheetId="10" r:id="rId9"/>
    <sheet name="Sheet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7" l="1"/>
  <c r="V22" i="7"/>
  <c r="U21" i="7"/>
  <c r="T20" i="7"/>
  <c r="S19" i="7"/>
  <c r="R18" i="7"/>
  <c r="Q17" i="7"/>
  <c r="P16" i="7"/>
  <c r="O15" i="7"/>
  <c r="N14" i="7"/>
  <c r="M13" i="7"/>
  <c r="L12" i="7"/>
  <c r="J10" i="7"/>
  <c r="I9" i="7"/>
  <c r="H8" i="7"/>
  <c r="G7" i="7"/>
  <c r="F6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B8" i="6"/>
  <c r="M8" i="4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2" i="10"/>
  <c r="O4" i="8"/>
  <c r="O5" i="8"/>
  <c r="O6" i="8"/>
  <c r="O7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3" i="8"/>
  <c r="J4" i="8"/>
  <c r="J5" i="8"/>
  <c r="J6" i="8"/>
  <c r="J7" i="8"/>
  <c r="J8" i="8"/>
  <c r="J9" i="8"/>
  <c r="J10" i="8"/>
  <c r="J11" i="8"/>
  <c r="J12" i="8"/>
  <c r="J14" i="8"/>
  <c r="J15" i="8"/>
  <c r="J17" i="8"/>
  <c r="J18" i="8"/>
  <c r="J20" i="8"/>
  <c r="J21" i="8"/>
  <c r="J23" i="8"/>
  <c r="J24" i="8"/>
  <c r="J26" i="8"/>
  <c r="J27" i="8"/>
  <c r="J3" i="8"/>
  <c r="E26" i="8"/>
  <c r="E4" i="8"/>
  <c r="E5" i="8"/>
  <c r="E6" i="8"/>
  <c r="E7" i="8"/>
  <c r="E9" i="8"/>
  <c r="E11" i="8"/>
  <c r="E14" i="8"/>
  <c r="E17" i="8"/>
  <c r="E20" i="8"/>
  <c r="E23" i="8"/>
  <c r="E3" i="8"/>
  <c r="G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H2" i="10"/>
  <c r="F2" i="10"/>
  <c r="U3" i="4"/>
  <c r="X3" i="4" s="1"/>
  <c r="V3" i="4"/>
  <c r="Y3" i="4" s="1"/>
  <c r="W3" i="4"/>
  <c r="Z3" i="4" s="1"/>
  <c r="U4" i="4"/>
  <c r="X4" i="4" s="1"/>
  <c r="V4" i="4"/>
  <c r="Y4" i="4" s="1"/>
  <c r="W4" i="4"/>
  <c r="Z4" i="4" s="1"/>
  <c r="U5" i="4"/>
  <c r="X5" i="4" s="1"/>
  <c r="V5" i="4"/>
  <c r="Y5" i="4" s="1"/>
  <c r="W5" i="4"/>
  <c r="Z5" i="4" s="1"/>
  <c r="U6" i="4"/>
  <c r="X6" i="4" s="1"/>
  <c r="V6" i="4"/>
  <c r="Y6" i="4" s="1"/>
  <c r="W6" i="4"/>
  <c r="Z6" i="4" s="1"/>
  <c r="U7" i="4"/>
  <c r="X7" i="4" s="1"/>
  <c r="V7" i="4"/>
  <c r="Y7" i="4" s="1"/>
  <c r="W7" i="4"/>
  <c r="Z7" i="4" s="1"/>
  <c r="U9" i="4"/>
  <c r="X9" i="4" s="1"/>
  <c r="V9" i="4"/>
  <c r="Y9" i="4" s="1"/>
  <c r="W9" i="4"/>
  <c r="Z9" i="4" s="1"/>
  <c r="U8" i="4"/>
  <c r="X8" i="4" s="1"/>
  <c r="V8" i="4"/>
  <c r="Y8" i="4" s="1"/>
  <c r="W8" i="4"/>
  <c r="Z8" i="4" s="1"/>
  <c r="U10" i="4"/>
  <c r="X10" i="4" s="1"/>
  <c r="V10" i="4"/>
  <c r="Y10" i="4" s="1"/>
  <c r="W10" i="4"/>
  <c r="Z10" i="4" s="1"/>
  <c r="V2" i="4"/>
  <c r="Y2" i="4" s="1"/>
  <c r="W2" i="4"/>
  <c r="Z2" i="4" s="1"/>
  <c r="H3" i="5"/>
  <c r="U2" i="4"/>
  <c r="X2" i="4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T2" i="8"/>
  <c r="S2" i="8"/>
  <c r="R2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E6" i="7"/>
  <c r="E5" i="7" s="1"/>
  <c r="D7" i="7" l="1"/>
  <c r="D6" i="7"/>
  <c r="X11" i="4"/>
  <c r="Y11" i="4"/>
  <c r="Z11" i="4"/>
  <c r="B10" i="4"/>
  <c r="C10" i="4"/>
  <c r="E10" i="4"/>
  <c r="M10" i="4"/>
  <c r="N10" i="4" s="1"/>
  <c r="B8" i="4"/>
  <c r="C8" i="4"/>
  <c r="E8" i="4"/>
  <c r="N8" i="4"/>
  <c r="B9" i="4"/>
  <c r="B7" i="4"/>
  <c r="B6" i="4"/>
  <c r="B5" i="4"/>
  <c r="B4" i="4"/>
  <c r="B3" i="4"/>
  <c r="B2" i="4"/>
  <c r="F32" i="5"/>
  <c r="L5" i="5" l="1"/>
  <c r="M4" i="4"/>
  <c r="M9" i="4"/>
  <c r="N9" i="4" s="1"/>
  <c r="M7" i="4"/>
  <c r="N7" i="4" s="1"/>
  <c r="M6" i="4"/>
  <c r="N6" i="4" s="1"/>
  <c r="M5" i="4"/>
  <c r="N5" i="4" s="1"/>
  <c r="M3" i="4"/>
  <c r="N3" i="4" s="1"/>
  <c r="M2" i="4"/>
  <c r="N2" i="4" s="1"/>
  <c r="E9" i="4" l="1"/>
  <c r="C9" i="4"/>
  <c r="E4" i="4"/>
  <c r="J33" i="5"/>
  <c r="J27" i="5"/>
  <c r="J26" i="5"/>
  <c r="J18" i="5"/>
  <c r="J12" i="5"/>
  <c r="J10" i="5"/>
  <c r="Q2" i="4" s="1"/>
  <c r="J2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" i="5"/>
  <c r="H35" i="5"/>
  <c r="G35" i="5"/>
  <c r="G34" i="5"/>
  <c r="G33" i="5"/>
  <c r="G32" i="5"/>
  <c r="G31" i="5"/>
  <c r="G30" i="5"/>
  <c r="G29" i="5"/>
  <c r="J29" i="5" s="1"/>
  <c r="G28" i="5"/>
  <c r="J28" i="5" s="1"/>
  <c r="G27" i="5"/>
  <c r="G26" i="5"/>
  <c r="G25" i="5"/>
  <c r="G24" i="5"/>
  <c r="G23" i="5"/>
  <c r="G22" i="5"/>
  <c r="G21" i="5"/>
  <c r="J21" i="5" s="1"/>
  <c r="G20" i="5"/>
  <c r="J20" i="5" s="1"/>
  <c r="G19" i="5"/>
  <c r="J19" i="5" s="1"/>
  <c r="G18" i="5"/>
  <c r="G17" i="5"/>
  <c r="G16" i="5"/>
  <c r="G15" i="5"/>
  <c r="G14" i="5"/>
  <c r="G13" i="5"/>
  <c r="J13" i="5" s="1"/>
  <c r="G12" i="5"/>
  <c r="G11" i="5"/>
  <c r="J11" i="5" s="1"/>
  <c r="G10" i="5"/>
  <c r="G9" i="5"/>
  <c r="G8" i="5"/>
  <c r="G7" i="5"/>
  <c r="G6" i="5"/>
  <c r="G5" i="5"/>
  <c r="G4" i="5"/>
  <c r="G3" i="5"/>
  <c r="G2" i="5"/>
  <c r="I9" i="5"/>
  <c r="J9" i="5" s="1"/>
  <c r="Q10" i="4" s="1"/>
  <c r="R10" i="4" s="1"/>
  <c r="I8" i="5"/>
  <c r="J8" i="5" s="1"/>
  <c r="I7" i="5"/>
  <c r="J7" i="5" s="1"/>
  <c r="I6" i="5"/>
  <c r="J6" i="5" s="1"/>
  <c r="I5" i="5"/>
  <c r="J5" i="5" s="1"/>
  <c r="I4" i="5"/>
  <c r="J4" i="5" s="1"/>
  <c r="Q3" i="4" s="1"/>
  <c r="I3" i="5"/>
  <c r="J3" i="5" s="1"/>
  <c r="I2" i="5"/>
  <c r="E7" i="4"/>
  <c r="E6" i="4"/>
  <c r="E5" i="4"/>
  <c r="E3" i="4"/>
  <c r="E2" i="4"/>
  <c r="C7" i="4"/>
  <c r="C6" i="4"/>
  <c r="C5" i="4"/>
  <c r="C4" i="4"/>
  <c r="C3" i="4"/>
  <c r="C2" i="4"/>
  <c r="I35" i="5"/>
  <c r="J35" i="5" s="1"/>
  <c r="I34" i="5"/>
  <c r="J34" i="5" s="1"/>
  <c r="I33" i="5"/>
  <c r="I32" i="5"/>
  <c r="J32" i="5" s="1"/>
  <c r="I31" i="5"/>
  <c r="J31" i="5" s="1"/>
  <c r="I30" i="5"/>
  <c r="J30" i="5" s="1"/>
  <c r="I29" i="5"/>
  <c r="I28" i="5"/>
  <c r="I27" i="5"/>
  <c r="I26" i="5"/>
  <c r="I25" i="5"/>
  <c r="J25" i="5" s="1"/>
  <c r="I24" i="5"/>
  <c r="J24" i="5" s="1"/>
  <c r="I23" i="5"/>
  <c r="J23" i="5" s="1"/>
  <c r="I22" i="5"/>
  <c r="J22" i="5" s="1"/>
  <c r="I21" i="5"/>
  <c r="I20" i="5"/>
  <c r="I19" i="5"/>
  <c r="I18" i="5"/>
  <c r="I17" i="5"/>
  <c r="J17" i="5" s="1"/>
  <c r="I16" i="5"/>
  <c r="J16" i="5" s="1"/>
  <c r="I15" i="5"/>
  <c r="J15" i="5" s="1"/>
  <c r="I14" i="5"/>
  <c r="J14" i="5" s="1"/>
  <c r="I13" i="5"/>
  <c r="I12" i="5"/>
  <c r="I11" i="5"/>
  <c r="I10" i="5"/>
  <c r="F35" i="5"/>
  <c r="F34" i="5"/>
  <c r="F33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J4" i="4" s="1"/>
  <c r="K4" i="4" s="1"/>
  <c r="L4" i="4" s="1"/>
  <c r="S4" i="4" s="1"/>
  <c r="F10" i="5"/>
  <c r="J2" i="4" s="1"/>
  <c r="K2" i="4" s="1"/>
  <c r="L2" i="4" s="1"/>
  <c r="S2" i="4" s="1"/>
  <c r="F9" i="5"/>
  <c r="F8" i="5"/>
  <c r="F7" i="5"/>
  <c r="F6" i="5"/>
  <c r="F5" i="5"/>
  <c r="F4" i="5"/>
  <c r="F2" i="5"/>
  <c r="F3" i="5"/>
  <c r="J7" i="4"/>
  <c r="K7" i="4" s="1"/>
  <c r="L7" i="4" s="1"/>
  <c r="S7" i="4" s="1"/>
  <c r="D5" i="2"/>
  <c r="D4" i="2" s="1"/>
  <c r="E5" i="2"/>
  <c r="F6" i="2"/>
  <c r="G7" i="2"/>
  <c r="H8" i="2"/>
  <c r="I9" i="2"/>
  <c r="J10" i="2"/>
  <c r="K11" i="2"/>
  <c r="L12" i="2"/>
  <c r="M13" i="2"/>
  <c r="N14" i="2"/>
  <c r="O15" i="2"/>
  <c r="P16" i="2"/>
  <c r="Q17" i="2"/>
  <c r="R18" i="2"/>
  <c r="S19" i="2"/>
  <c r="T20" i="2"/>
  <c r="U21" i="2"/>
  <c r="Q5" i="4" l="1"/>
  <c r="Q6" i="4"/>
  <c r="Q7" i="4"/>
  <c r="R7" i="4" s="1"/>
  <c r="K23" i="5"/>
  <c r="Q8" i="4"/>
  <c r="R8" i="4" s="1"/>
  <c r="J5" i="4"/>
  <c r="K5" i="4" s="1"/>
  <c r="L5" i="4" s="1"/>
  <c r="S5" i="4" s="1"/>
  <c r="J6" i="4"/>
  <c r="K6" i="4" s="1"/>
  <c r="L6" i="4" s="1"/>
  <c r="S6" i="4" s="1"/>
  <c r="J8" i="4"/>
  <c r="K8" i="4" s="1"/>
  <c r="L8" i="4" s="1"/>
  <c r="S8" i="4" s="1"/>
  <c r="J10" i="4"/>
  <c r="K10" i="4" s="1"/>
  <c r="L10" i="4" s="1"/>
  <c r="S10" i="4" s="1"/>
  <c r="J9" i="4"/>
  <c r="K9" i="4" s="1"/>
  <c r="L9" i="4" s="1"/>
  <c r="S9" i="4" s="1"/>
  <c r="Q9" i="4"/>
  <c r="R9" i="4" s="1"/>
  <c r="Q4" i="4"/>
  <c r="R4" i="4" s="1"/>
  <c r="R3" i="4"/>
  <c r="R5" i="4"/>
  <c r="R2" i="4"/>
  <c r="J3" i="4"/>
  <c r="K3" i="4" s="1"/>
  <c r="L3" i="4" s="1"/>
  <c r="S3" i="4" s="1"/>
  <c r="R6" i="4" l="1"/>
  <c r="U21" i="3" l="1"/>
  <c r="T20" i="3"/>
  <c r="S19" i="3"/>
  <c r="R18" i="3"/>
  <c r="Q17" i="3"/>
  <c r="P16" i="3"/>
  <c r="O15" i="3"/>
  <c r="N14" i="3"/>
  <c r="M13" i="3"/>
  <c r="L12" i="3"/>
  <c r="K11" i="3"/>
  <c r="J10" i="3"/>
  <c r="I9" i="3"/>
  <c r="H8" i="3"/>
  <c r="G7" i="3"/>
  <c r="F6" i="3"/>
  <c r="E5" i="3"/>
  <c r="D5" i="3"/>
  <c r="D4" i="3" s="1"/>
  <c r="U21" i="1" l="1"/>
  <c r="T20" i="1"/>
  <c r="S19" i="1"/>
  <c r="R18" i="1"/>
  <c r="Q17" i="1"/>
  <c r="P16" i="1"/>
  <c r="O15" i="1"/>
  <c r="N14" i="1"/>
  <c r="M13" i="1"/>
  <c r="L12" i="1"/>
  <c r="K11" i="1"/>
  <c r="J10" i="1"/>
  <c r="I9" i="1"/>
  <c r="H8" i="1"/>
  <c r="G7" i="1"/>
  <c r="F6" i="1"/>
  <c r="E5" i="1"/>
  <c r="D5" i="1"/>
  <c r="D4" i="1" s="1"/>
  <c r="N4" i="4" l="1"/>
</calcChain>
</file>

<file path=xl/sharedStrings.xml><?xml version="1.0" encoding="utf-8"?>
<sst xmlns="http://schemas.openxmlformats.org/spreadsheetml/2006/main" count="606" uniqueCount="189">
  <si>
    <t>5s5s</t>
    <phoneticPr fontId="2"/>
  </si>
  <si>
    <t>1S0</t>
    <phoneticPr fontId="2"/>
  </si>
  <si>
    <t>5s5p</t>
  </si>
  <si>
    <t>5s5p</t>
    <phoneticPr fontId="2"/>
  </si>
  <si>
    <t>3P2</t>
    <phoneticPr fontId="2"/>
  </si>
  <si>
    <t>3P1</t>
    <phoneticPr fontId="2"/>
  </si>
  <si>
    <t>3P0</t>
    <phoneticPr fontId="2"/>
  </si>
  <si>
    <t>5s4d</t>
    <phoneticPr fontId="2"/>
  </si>
  <si>
    <t>3D1</t>
    <phoneticPr fontId="2"/>
  </si>
  <si>
    <t>3D2</t>
    <phoneticPr fontId="2"/>
  </si>
  <si>
    <t>3D3</t>
    <phoneticPr fontId="2"/>
  </si>
  <si>
    <t>1D2</t>
    <phoneticPr fontId="2"/>
  </si>
  <si>
    <t>1P1</t>
    <phoneticPr fontId="2"/>
  </si>
  <si>
    <t>5s6s</t>
    <phoneticPr fontId="2"/>
  </si>
  <si>
    <t>3S1</t>
    <phoneticPr fontId="2"/>
  </si>
  <si>
    <t>5s5d</t>
    <phoneticPr fontId="2"/>
  </si>
  <si>
    <t>5s6p</t>
    <phoneticPr fontId="2"/>
  </si>
  <si>
    <t>(緑)</t>
    <rPh sb="1" eb="2">
      <t xml:space="preserve">ミドリ </t>
    </rPh>
    <phoneticPr fontId="2"/>
  </si>
  <si>
    <t>sum</t>
    <phoneticPr fontId="2"/>
  </si>
  <si>
    <t>ウィグナーエッカルト</t>
    <phoneticPr fontId="2"/>
  </si>
  <si>
    <t>5s5s1S0</t>
    <phoneticPr fontId="2"/>
  </si>
  <si>
    <t>5a5p3P0</t>
    <phoneticPr fontId="2"/>
  </si>
  <si>
    <t>5a5p3P1</t>
    <phoneticPr fontId="2"/>
  </si>
  <si>
    <t>5a5p3P2</t>
    <phoneticPr fontId="2"/>
  </si>
  <si>
    <t>5s4d3D1</t>
    <phoneticPr fontId="2"/>
  </si>
  <si>
    <t>5s4d3D2</t>
    <phoneticPr fontId="2"/>
  </si>
  <si>
    <t>5s4d3D3</t>
    <phoneticPr fontId="2"/>
  </si>
  <si>
    <t>5s4d1D2</t>
    <phoneticPr fontId="2"/>
  </si>
  <si>
    <t>5s5p1P1</t>
    <phoneticPr fontId="2"/>
  </si>
  <si>
    <t>5s6s3S1</t>
    <phoneticPr fontId="2"/>
  </si>
  <si>
    <t>5s6s1S0</t>
    <phoneticPr fontId="2"/>
  </si>
  <si>
    <t>5s6p3P0</t>
    <phoneticPr fontId="2"/>
  </si>
  <si>
    <t>5s6p3P1</t>
    <phoneticPr fontId="2"/>
  </si>
  <si>
    <t>5s6p3P2</t>
    <phoneticPr fontId="2"/>
  </si>
  <si>
    <t>5s6p1P1</t>
    <phoneticPr fontId="2"/>
  </si>
  <si>
    <t>5s5d3D1</t>
    <phoneticPr fontId="2"/>
  </si>
  <si>
    <t>5s5d3D2</t>
    <phoneticPr fontId="2"/>
  </si>
  <si>
    <t>5s5d3D3</t>
    <phoneticPr fontId="2"/>
  </si>
  <si>
    <t>5s5p3P0</t>
    <phoneticPr fontId="2"/>
  </si>
  <si>
    <t>5s5p3P1</t>
    <phoneticPr fontId="2"/>
  </si>
  <si>
    <t>5s5p3P2</t>
    <phoneticPr fontId="2"/>
  </si>
  <si>
    <t>energy level(cm-1)</t>
    <phoneticPr fontId="2"/>
  </si>
  <si>
    <t>4d5p</t>
    <phoneticPr fontId="2"/>
  </si>
  <si>
    <t>3F2</t>
    <phoneticPr fontId="2"/>
  </si>
  <si>
    <t>3F3</t>
    <phoneticPr fontId="2"/>
  </si>
  <si>
    <t>3F4</t>
    <phoneticPr fontId="2"/>
  </si>
  <si>
    <t>1F3</t>
    <phoneticPr fontId="2"/>
  </si>
  <si>
    <t>1D1</t>
    <phoneticPr fontId="2"/>
  </si>
  <si>
    <t>5p5p</t>
    <phoneticPr fontId="2"/>
  </si>
  <si>
    <t>energy level(THz)</t>
    <phoneticPr fontId="2"/>
  </si>
  <si>
    <t>S</t>
    <phoneticPr fontId="2"/>
  </si>
  <si>
    <t>J</t>
    <phoneticPr fontId="2"/>
  </si>
  <si>
    <t>L</t>
    <phoneticPr fontId="2"/>
  </si>
  <si>
    <t>k=2π/λ</t>
    <phoneticPr fontId="2"/>
  </si>
  <si>
    <t>gJ</t>
    <phoneticPr fontId="2"/>
  </si>
  <si>
    <t>J/T</t>
    <phoneticPr fontId="2"/>
  </si>
  <si>
    <t>Js</t>
    <phoneticPr fontId="2"/>
  </si>
  <si>
    <t>88Sr mass</t>
    <phoneticPr fontId="2"/>
  </si>
  <si>
    <t>kg</t>
    <phoneticPr fontId="2"/>
  </si>
  <si>
    <t>g</t>
    <phoneticPr fontId="2"/>
  </si>
  <si>
    <t>e</t>
    <phoneticPr fontId="2"/>
  </si>
  <si>
    <t>本番号(エネルギー順)</t>
    <rPh sb="0" eb="2">
      <t xml:space="preserve">ホンバン </t>
    </rPh>
    <rPh sb="2" eb="3">
      <t xml:space="preserve">ゴウ </t>
    </rPh>
    <phoneticPr fontId="2"/>
  </si>
  <si>
    <t>高橋番号(ソフト対応)</t>
    <rPh sb="0" eb="2">
      <t xml:space="preserve">タカハシ </t>
    </rPh>
    <rPh sb="2" eb="4">
      <t xml:space="preserve">バンゴウ </t>
    </rPh>
    <phoneticPr fontId="2"/>
  </si>
  <si>
    <t>transitionNum</t>
    <phoneticPr fontId="2"/>
  </si>
  <si>
    <t>5s6d</t>
  </si>
  <si>
    <t>5s7d</t>
  </si>
  <si>
    <t>原則はsan10に従う。</t>
    <rPh sb="9" eb="10">
      <t>シタガウ。</t>
    </rPh>
    <phoneticPr fontId="2"/>
  </si>
  <si>
    <t>それ以外はいかに記録を残して書き換える。</t>
    <rPh sb="8" eb="10">
      <t xml:space="preserve">キロクヲ </t>
    </rPh>
    <rPh sb="11" eb="12">
      <t xml:space="preserve">ノコシテ </t>
    </rPh>
    <rPh sb="14" eb="15">
      <t xml:space="preserve">カキカエル </t>
    </rPh>
    <phoneticPr fontId="2"/>
  </si>
  <si>
    <t>上準位</t>
    <rPh sb="0" eb="3">
      <t xml:space="preserve">ウエジュンイ </t>
    </rPh>
    <phoneticPr fontId="2"/>
  </si>
  <si>
    <t>下準位</t>
    <rPh sb="0" eb="1">
      <t xml:space="preserve">シタ </t>
    </rPh>
    <phoneticPr fontId="2"/>
  </si>
  <si>
    <t>tau0 = 5.263+/-0.004</t>
    <phoneticPr fontId="2"/>
  </si>
  <si>
    <t>gamma =  2pi* (30.24 +/- 0.02) = 190.00 +/- 0.12 (x10^6)</t>
    <phoneticPr fontId="2"/>
  </si>
  <si>
    <t>AT</t>
    <phoneticPr fontId="2"/>
  </si>
  <si>
    <t>3P0WN</t>
    <phoneticPr fontId="2"/>
  </si>
  <si>
    <t>3P0Aj</t>
    <phoneticPr fontId="2"/>
  </si>
  <si>
    <t>3P0ξ</t>
    <phoneticPr fontId="2"/>
  </si>
  <si>
    <t>3P1WN</t>
    <phoneticPr fontId="2"/>
  </si>
  <si>
    <t>3P1Aj</t>
    <phoneticPr fontId="2"/>
  </si>
  <si>
    <t>3P1ξ</t>
    <phoneticPr fontId="2"/>
  </si>
  <si>
    <t>3P2WN</t>
    <phoneticPr fontId="2"/>
  </si>
  <si>
    <t>3P2Aj</t>
    <phoneticPr fontId="2"/>
  </si>
  <si>
    <t>3P2ξ</t>
    <phoneticPr fontId="2"/>
  </si>
  <si>
    <t>cite</t>
    <phoneticPr fontId="2"/>
  </si>
  <si>
    <t>5s6s</t>
  </si>
  <si>
    <t>c</t>
    <phoneticPr fontId="2"/>
  </si>
  <si>
    <t>5s7s</t>
  </si>
  <si>
    <t>3S1</t>
  </si>
  <si>
    <t>5s8s</t>
  </si>
  <si>
    <t>a</t>
    <phoneticPr fontId="2"/>
  </si>
  <si>
    <t>5s9s</t>
  </si>
  <si>
    <t>5s10s</t>
  </si>
  <si>
    <t>5p2</t>
  </si>
  <si>
    <t>3P0</t>
  </si>
  <si>
    <t>3P1</t>
  </si>
  <si>
    <t>3P2</t>
  </si>
  <si>
    <t>5s4d</t>
  </si>
  <si>
    <t>3D1</t>
  </si>
  <si>
    <t>f</t>
    <phoneticPr fontId="2"/>
  </si>
  <si>
    <t>3D2</t>
  </si>
  <si>
    <t>3D3</t>
  </si>
  <si>
    <t>5s5d</t>
  </si>
  <si>
    <t>5s8d</t>
  </si>
  <si>
    <t>5s9d</t>
  </si>
  <si>
    <t>paper</t>
    <phoneticPr fontId="2"/>
  </si>
  <si>
    <t>Zhou2010</t>
    <phoneticPr fontId="2"/>
  </si>
  <si>
    <t>73NEW/OCO</t>
    <phoneticPr fontId="2"/>
  </si>
  <si>
    <t>Sansonetti2010</t>
    <phoneticPr fontId="2"/>
  </si>
  <si>
    <t>color</t>
    <phoneticPr fontId="2"/>
  </si>
  <si>
    <t>9DABDD</t>
    <phoneticPr fontId="2"/>
  </si>
  <si>
    <t>E58B88</t>
    <phoneticPr fontId="2"/>
  </si>
  <si>
    <t>70AE98</t>
    <phoneticPr fontId="2"/>
  </si>
  <si>
    <t>ECBE7A</t>
    <phoneticPr fontId="2"/>
  </si>
  <si>
    <t>E08963</t>
    <phoneticPr fontId="2"/>
  </si>
  <si>
    <t>FFBFA3</t>
    <phoneticPr fontId="2"/>
  </si>
  <si>
    <t>b</t>
    <phoneticPr fontId="2"/>
  </si>
  <si>
    <t>d</t>
    <phoneticPr fontId="2"/>
  </si>
  <si>
    <t>[24] T. Ido and H. Katori, Phys. Rev. Lett. 91, 053001 (2003).</t>
  </si>
  <si>
    <t>[28] H. J. Andra, H.-J. Plohn, W. Wittmann, A. Gaupp, J. O. Stoner</t>
  </si>
  <si>
    <t>[22] H. G. C. Werij, C. H. Greene, C. E. Theodosiou, and A. Gallagher, Phys. Rev. A 46, 1248 (1992).</t>
    <phoneticPr fontId="2"/>
  </si>
  <si>
    <t>[23] M. Yasuda, T. Kishimoto, M. Takamoto, and H. Katori, Phys. Rev. A 73, 011403(R) (2006).</t>
    <phoneticPr fontId="2"/>
  </si>
  <si>
    <t>[25] W. H. Parkinson, E. M. Reeves, and F. S. Tomkins, J. Phys. B 9,157 (1976).</t>
    <phoneticPr fontId="2"/>
  </si>
  <si>
    <t>[26] C. H. Corliss and W. R. Bozman, in Experimental Transition Probabilities for Spectral Lines of 70 Elements, edited by Usn National Bureau of Standards (US GPO,Washington DC, 1962).Monograph No. 53.</t>
    <phoneticPr fontId="2"/>
  </si>
  <si>
    <t>[27] S. G. Porsev, A. D. Ludlow, M. M. Boyd, and J. Ye, Phys. Rev.A 78, 032508 (2008).</t>
    <phoneticPr fontId="2"/>
  </si>
  <si>
    <t>5s9p</t>
    <phoneticPr fontId="2"/>
  </si>
  <si>
    <t>5s7p</t>
    <phoneticPr fontId="2"/>
  </si>
  <si>
    <t>5s8p</t>
    <phoneticPr fontId="2"/>
  </si>
  <si>
    <t>5s4f</t>
    <phoneticPr fontId="2"/>
  </si>
  <si>
    <t>5s5f</t>
    <phoneticPr fontId="2"/>
  </si>
  <si>
    <t>5s6f</t>
    <phoneticPr fontId="2"/>
  </si>
  <si>
    <t>5s7f</t>
    <phoneticPr fontId="2"/>
  </si>
  <si>
    <t xml:space="preserve"> 2.1*10^7</t>
  </si>
  <si>
    <t xml:space="preserve"> 1]*)</t>
  </si>
  <si>
    <t xml:space="preserve"> 7.7*10^6</t>
  </si>
  <si>
    <t xml:space="preserve"> 1.2*10^7</t>
  </si>
  <si>
    <t xml:space="preserve"> 1.9*10^7</t>
  </si>
  <si>
    <t xml:space="preserve"> 2.7*10^7</t>
  </si>
  <si>
    <t xml:space="preserve"> 3.0*10^5</t>
  </si>
  <si>
    <t xml:space="preserve"> 3.9*10^7</t>
  </si>
  <si>
    <t xml:space="preserve"> 5.0*10^5</t>
  </si>
  <si>
    <t xml:space="preserve"> 7.8*10^6</t>
  </si>
  <si>
    <t xml:space="preserve"> 1.3*10^7</t>
  </si>
  <si>
    <t xml:space="preserve"> 1.7*10^7</t>
  </si>
  <si>
    <t xml:space="preserve"> 9.4*10^6</t>
  </si>
  <si>
    <t xml:space="preserve"> 10^3</t>
  </si>
  <si>
    <t xml:space="preserve"> 6.0*10^6</t>
  </si>
  <si>
    <t xml:space="preserve"> 1.6*10^6</t>
  </si>
  <si>
    <t>88VAE/GOD</t>
  </si>
  <si>
    <t>92WER/GRE</t>
  </si>
  <si>
    <t>88GAR/CAM</t>
  </si>
  <si>
    <t>aaa</t>
    <phoneticPr fontId="2"/>
  </si>
  <si>
    <t>3P0WL</t>
    <phoneticPr fontId="2"/>
  </si>
  <si>
    <t>3P1WL</t>
    <phoneticPr fontId="2"/>
  </si>
  <si>
    <t>3P2WL</t>
    <phoneticPr fontId="2"/>
  </si>
  <si>
    <t>WN</t>
    <phoneticPr fontId="2"/>
  </si>
  <si>
    <t>WL</t>
    <phoneticPr fontId="2"/>
  </si>
  <si>
    <t>Aj</t>
    <phoneticPr fontId="2"/>
  </si>
  <si>
    <t>ZeemanSplit</t>
    <phoneticPr fontId="2"/>
  </si>
  <si>
    <t>name</t>
    <phoneticPr fontId="2"/>
  </si>
  <si>
    <t>linewidth/2π</t>
    <phoneticPr fontId="2"/>
  </si>
  <si>
    <t>ΔE</t>
    <phoneticPr fontId="2"/>
  </si>
  <si>
    <t>linewidth</t>
    <phoneticPr fontId="2"/>
  </si>
  <si>
    <t>vrec</t>
    <phoneticPr fontId="2"/>
  </si>
  <si>
    <t>wavelength</t>
    <phoneticPr fontId="2"/>
  </si>
  <si>
    <t>speed of light</t>
    <phoneticPr fontId="2"/>
  </si>
  <si>
    <t>Bohr magneton</t>
  </si>
  <si>
    <t>Dirac number</t>
    <phoneticPr fontId="2"/>
  </si>
  <si>
    <t>value</t>
    <phoneticPr fontId="2"/>
  </si>
  <si>
    <t>unit</t>
    <phoneticPr fontId="2"/>
  </si>
  <si>
    <t>m/s</t>
    <phoneticPr fontId="2"/>
  </si>
  <si>
    <t>Boltzmann number</t>
    <phoneticPr fontId="2"/>
  </si>
  <si>
    <t>J/K</t>
    <phoneticPr fontId="2"/>
  </si>
  <si>
    <t>m/s2</t>
    <phoneticPr fontId="2"/>
  </si>
  <si>
    <t>gravitational acceleration</t>
  </si>
  <si>
    <t>Vacuum permeability</t>
    <phoneticPr fontId="2"/>
  </si>
  <si>
    <t>H/m</t>
    <phoneticPr fontId="2"/>
  </si>
  <si>
    <t>black</t>
    <phoneticPr fontId="2"/>
  </si>
  <si>
    <t>red</t>
    <phoneticPr fontId="2"/>
  </si>
  <si>
    <t>green</t>
    <phoneticPr fontId="2"/>
  </si>
  <si>
    <t>gray</t>
    <phoneticPr fontId="2"/>
  </si>
  <si>
    <t>orange</t>
    <phoneticPr fontId="2"/>
  </si>
  <si>
    <t>olive</t>
    <phoneticPr fontId="2"/>
  </si>
  <si>
    <t>darkkhaki</t>
    <phoneticPr fontId="2"/>
  </si>
  <si>
    <t>darkturquoise</t>
    <phoneticPr fontId="2"/>
  </si>
  <si>
    <t>forestgreen</t>
    <phoneticPr fontId="2"/>
  </si>
  <si>
    <t>brown</t>
    <phoneticPr fontId="2"/>
  </si>
  <si>
    <t>gold</t>
    <phoneticPr fontId="2"/>
  </si>
  <si>
    <t>out</t>
    <phoneticPr fontId="2"/>
  </si>
  <si>
    <t>outside</t>
    <phoneticPr fontId="2"/>
  </si>
  <si>
    <t>pink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</si>
</sst>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0E+00"/>
    <numFmt numFmtId="178" formatCode="0.0000E+00"/>
    <numFmt numFmtId="179" formatCode="0.000_);[Red]\(0.000\)"/>
    <numFmt numFmtId="180" formatCode="0.00000000E+00"/>
    <numFmt numFmtId="181" formatCode="0.0E+00"/>
    <numFmt numFmtId="182" formatCode="0.00000"/>
    <numFmt numFmtId="183" formatCode="0.00000.E+00"/>
    <numFmt numFmtId="184" formatCode="0.00.E+00"/>
    <numFmt numFmtId="185" formatCode="0.00000E+00"/>
  </numFmts>
  <fonts count="12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70C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9"/>
      <color theme="1"/>
      <name val="Times"/>
      <family val="1"/>
    </font>
    <font>
      <sz val="8"/>
      <color rgb="FF0000FF"/>
      <name val="Times"/>
      <family val="1"/>
    </font>
    <font>
      <sz val="12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82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0" fillId="0" borderId="9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0" fillId="0" borderId="13" xfId="0" applyBorder="1">
      <alignment vertical="center"/>
    </xf>
    <xf numFmtId="176" fontId="0" fillId="0" borderId="3" xfId="0" applyNumberFormat="1" applyBorder="1">
      <alignment vertical="center"/>
    </xf>
    <xf numFmtId="0" fontId="1" fillId="0" borderId="9" xfId="0" applyFont="1" applyBorder="1">
      <alignment vertical="center"/>
    </xf>
    <xf numFmtId="11" fontId="0" fillId="3" borderId="5" xfId="0" applyNumberFormat="1" applyFill="1" applyBorder="1" applyAlignment="1">
      <alignment horizontal="left" vertical="center"/>
    </xf>
    <xf numFmtId="11" fontId="0" fillId="2" borderId="5" xfId="0" applyNumberFormat="1" applyFill="1" applyBorder="1" applyAlignment="1">
      <alignment horizontal="left" vertical="center"/>
    </xf>
    <xf numFmtId="11" fontId="0" fillId="2" borderId="1" xfId="0" applyNumberFormat="1" applyFill="1" applyBorder="1" applyAlignment="1">
      <alignment horizontal="left" vertical="center"/>
    </xf>
    <xf numFmtId="11" fontId="0" fillId="0" borderId="5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11" fontId="0" fillId="2" borderId="9" xfId="0" applyNumberFormat="1" applyFill="1" applyBorder="1" applyAlignment="1">
      <alignment horizontal="left" vertical="center"/>
    </xf>
    <xf numFmtId="11" fontId="0" fillId="4" borderId="1" xfId="0" applyNumberFormat="1" applyFill="1" applyBorder="1" applyAlignment="1">
      <alignment horizontal="left" vertical="center"/>
    </xf>
    <xf numFmtId="11" fontId="0" fillId="0" borderId="9" xfId="0" applyNumberFormat="1" applyBorder="1" applyAlignment="1">
      <alignment horizontal="left" vertical="center"/>
    </xf>
    <xf numFmtId="11" fontId="0" fillId="0" borderId="13" xfId="0" applyNumberFormat="1" applyBorder="1" applyAlignment="1">
      <alignment horizontal="left" vertical="center"/>
    </xf>
    <xf numFmtId="11" fontId="0" fillId="0" borderId="6" xfId="0" applyNumberFormat="1" applyBorder="1" applyAlignment="1">
      <alignment horizontal="left" vertical="center"/>
    </xf>
    <xf numFmtId="11" fontId="0" fillId="3" borderId="6" xfId="0" applyNumberFormat="1" applyFill="1" applyBorder="1" applyAlignment="1">
      <alignment horizontal="left" vertical="center"/>
    </xf>
    <xf numFmtId="11" fontId="0" fillId="0" borderId="3" xfId="0" applyNumberFormat="1" applyBorder="1" applyAlignment="1">
      <alignment horizontal="left" vertical="center"/>
    </xf>
    <xf numFmtId="11" fontId="0" fillId="4" borderId="6" xfId="0" applyNumberFormat="1" applyFill="1" applyBorder="1" applyAlignment="1">
      <alignment horizontal="left" vertical="center"/>
    </xf>
    <xf numFmtId="11" fontId="0" fillId="0" borderId="10" xfId="0" applyNumberFormat="1" applyBorder="1" applyAlignment="1">
      <alignment horizontal="left" vertical="center"/>
    </xf>
    <xf numFmtId="11" fontId="0" fillId="4" borderId="10" xfId="0" applyNumberFormat="1" applyFill="1" applyBorder="1" applyAlignment="1">
      <alignment horizontal="left" vertical="center"/>
    </xf>
    <xf numFmtId="11" fontId="0" fillId="0" borderId="14" xfId="0" applyNumberFormat="1" applyBorder="1" applyAlignment="1">
      <alignment horizontal="left" vertical="center"/>
    </xf>
    <xf numFmtId="11" fontId="0" fillId="0" borderId="4" xfId="0" applyNumberFormat="1" applyBorder="1" applyAlignment="1">
      <alignment horizontal="left" vertical="center"/>
    </xf>
    <xf numFmtId="11" fontId="0" fillId="3" borderId="0" xfId="0" applyNumberForma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1" fontId="0" fillId="4" borderId="4" xfId="0" applyNumberFormat="1" applyFill="1" applyBorder="1" applyAlignment="1">
      <alignment horizontal="left" vertical="center"/>
    </xf>
    <xf numFmtId="11" fontId="0" fillId="4" borderId="0" xfId="0" applyNumberFormat="1" applyFill="1" applyAlignment="1">
      <alignment horizontal="left" vertical="center"/>
    </xf>
    <xf numFmtId="11" fontId="0" fillId="4" borderId="8" xfId="0" applyNumberFormat="1" applyFill="1" applyBorder="1" applyAlignment="1">
      <alignment horizontal="left" vertical="center"/>
    </xf>
    <xf numFmtId="11" fontId="0" fillId="0" borderId="8" xfId="0" applyNumberFormat="1" applyBorder="1" applyAlignment="1">
      <alignment horizontal="left" vertical="center"/>
    </xf>
    <xf numFmtId="11" fontId="0" fillId="0" borderId="12" xfId="0" applyNumberFormat="1" applyBorder="1" applyAlignment="1">
      <alignment horizontal="left" vertical="center"/>
    </xf>
    <xf numFmtId="11" fontId="0" fillId="4" borderId="5" xfId="0" applyNumberFormat="1" applyFill="1" applyBorder="1" applyAlignment="1">
      <alignment horizontal="left" vertical="center"/>
    </xf>
    <xf numFmtId="11" fontId="0" fillId="4" borderId="9" xfId="0" applyNumberFormat="1" applyFill="1" applyBorder="1" applyAlignment="1">
      <alignment horizontal="left" vertical="center"/>
    </xf>
    <xf numFmtId="11" fontId="0" fillId="4" borderId="13" xfId="0" applyNumberFormat="1" applyFill="1" applyBorder="1" applyAlignment="1">
      <alignment horizontal="left" vertical="center"/>
    </xf>
    <xf numFmtId="11" fontId="0" fillId="2" borderId="3" xfId="0" applyNumberFormat="1" applyFill="1" applyBorder="1" applyAlignment="1">
      <alignment horizontal="left" vertical="center"/>
    </xf>
    <xf numFmtId="11" fontId="0" fillId="2" borderId="0" xfId="0" applyNumberFormat="1" applyFill="1" applyAlignment="1">
      <alignment horizontal="left" vertical="center"/>
    </xf>
    <xf numFmtId="11" fontId="0" fillId="0" borderId="7" xfId="0" applyNumberFormat="1" applyBorder="1" applyAlignment="1">
      <alignment horizontal="left" vertical="center"/>
    </xf>
    <xf numFmtId="11" fontId="0" fillId="0" borderId="2" xfId="0" applyNumberFormat="1" applyBorder="1" applyAlignment="1">
      <alignment horizontal="left" vertical="center"/>
    </xf>
    <xf numFmtId="11" fontId="0" fillId="3" borderId="11" xfId="0" applyNumberFormat="1" applyFill="1" applyBorder="1" applyAlignment="1">
      <alignment horizontal="left" vertical="center"/>
    </xf>
    <xf numFmtId="11" fontId="0" fillId="4" borderId="11" xfId="0" applyNumberFormat="1" applyFill="1" applyBorder="1" applyAlignment="1">
      <alignment horizontal="left" vertical="center"/>
    </xf>
    <xf numFmtId="11" fontId="0" fillId="0" borderId="11" xfId="0" applyNumberFormat="1" applyBorder="1" applyAlignment="1">
      <alignment horizontal="left" vertical="center"/>
    </xf>
    <xf numFmtId="11" fontId="0" fillId="4" borderId="2" xfId="0" applyNumberFormat="1" applyFill="1" applyBorder="1" applyAlignment="1">
      <alignment horizontal="left" vertical="center"/>
    </xf>
    <xf numFmtId="11" fontId="0" fillId="0" borderId="15" xfId="0" applyNumberFormat="1" applyBorder="1" applyAlignment="1">
      <alignment horizontal="left" vertical="center"/>
    </xf>
    <xf numFmtId="11" fontId="3" fillId="0" borderId="11" xfId="0" applyNumberFormat="1" applyFont="1" applyBorder="1" applyAlignment="1">
      <alignment horizontal="left" vertical="center"/>
    </xf>
    <xf numFmtId="11" fontId="3" fillId="0" borderId="2" xfId="0" applyNumberFormat="1" applyFont="1" applyBorder="1" applyAlignment="1">
      <alignment horizontal="left" vertical="center"/>
    </xf>
    <xf numFmtId="11" fontId="3" fillId="0" borderId="7" xfId="0" applyNumberFormat="1" applyFont="1" applyBorder="1" applyAlignment="1">
      <alignment horizontal="left" vertical="center"/>
    </xf>
    <xf numFmtId="11" fontId="3" fillId="0" borderId="15" xfId="0" applyNumberFormat="1" applyFont="1" applyBorder="1" applyAlignment="1">
      <alignment horizontal="left" vertical="center"/>
    </xf>
    <xf numFmtId="11" fontId="3" fillId="0" borderId="5" xfId="0" applyNumberFormat="1" applyFont="1" applyBorder="1" applyAlignment="1">
      <alignment horizontal="left" vertical="center"/>
    </xf>
    <xf numFmtId="11" fontId="3" fillId="0" borderId="1" xfId="0" applyNumberFormat="1" applyFont="1" applyBorder="1" applyAlignment="1">
      <alignment horizontal="left" vertical="center"/>
    </xf>
    <xf numFmtId="11" fontId="3" fillId="0" borderId="9" xfId="0" applyNumberFormat="1" applyFont="1" applyBorder="1" applyAlignment="1">
      <alignment horizontal="left" vertical="center"/>
    </xf>
    <xf numFmtId="11" fontId="0" fillId="3" borderId="7" xfId="0" applyNumberFormat="1" applyFill="1" applyBorder="1" applyAlignment="1">
      <alignment horizontal="left" vertical="center"/>
    </xf>
    <xf numFmtId="11" fontId="3" fillId="0" borderId="13" xfId="0" applyNumberFormat="1" applyFont="1" applyBorder="1" applyAlignment="1">
      <alignment horizontal="left" vertical="center"/>
    </xf>
    <xf numFmtId="11" fontId="3" fillId="0" borderId="4" xfId="0" applyNumberFormat="1" applyFont="1" applyBorder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11" fontId="3" fillId="0" borderId="8" xfId="0" applyNumberFormat="1" applyFont="1" applyBorder="1" applyAlignment="1">
      <alignment horizontal="left" vertical="center"/>
    </xf>
    <xf numFmtId="11" fontId="0" fillId="3" borderId="13" xfId="0" applyNumberForma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179" fontId="7" fillId="0" borderId="0" xfId="0" applyNumberFormat="1" applyFont="1" applyAlignment="1">
      <alignment horizontal="left" vertical="center"/>
    </xf>
    <xf numFmtId="178" fontId="7" fillId="0" borderId="0" xfId="0" applyNumberFormat="1" applyFont="1">
      <alignment vertical="center"/>
    </xf>
    <xf numFmtId="11" fontId="7" fillId="0" borderId="0" xfId="0" applyNumberFormat="1" applyFont="1">
      <alignment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1" fontId="0" fillId="0" borderId="0" xfId="0" applyNumberFormat="1" applyAlignment="1">
      <alignment horizontal="left" vertical="top"/>
    </xf>
    <xf numFmtId="182" fontId="0" fillId="0" borderId="0" xfId="0" applyNumberFormat="1">
      <alignment vertical="center"/>
    </xf>
    <xf numFmtId="11" fontId="0" fillId="0" borderId="0" xfId="0" applyNumberFormat="1">
      <alignment vertical="center"/>
    </xf>
    <xf numFmtId="183" fontId="7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0" fontId="0" fillId="9" borderId="0" xfId="0" applyFill="1">
      <alignment vertical="center"/>
    </xf>
    <xf numFmtId="184" fontId="0" fillId="0" borderId="0" xfId="0" applyNumberFormat="1">
      <alignment vertical="center"/>
    </xf>
    <xf numFmtId="0" fontId="8" fillId="0" borderId="0" xfId="0" applyFont="1">
      <alignment vertical="center"/>
    </xf>
    <xf numFmtId="2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" fontId="0" fillId="0" borderId="0" xfId="0" applyNumberFormat="1">
      <alignment vertical="center"/>
    </xf>
    <xf numFmtId="0" fontId="11" fillId="0" borderId="8" xfId="0" applyFont="1" applyBorder="1">
      <alignment vertical="center"/>
    </xf>
    <xf numFmtId="0" fontId="11" fillId="0" borderId="0" xfId="0" applyFont="1">
      <alignment vertical="center"/>
    </xf>
    <xf numFmtId="0" fontId="11" fillId="0" borderId="4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181" fontId="0" fillId="3" borderId="5" xfId="0" applyNumberFormat="1" applyFill="1" applyBorder="1" applyAlignment="1">
      <alignment horizontal="center" vertical="center"/>
    </xf>
    <xf numFmtId="181" fontId="0" fillId="2" borderId="5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2" borderId="9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81" fontId="0" fillId="0" borderId="9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3" borderId="6" xfId="0" applyNumberFormat="1" applyFill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0" fillId="4" borderId="6" xfId="0" applyNumberForma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4" borderId="10" xfId="0" applyNumberFormat="1" applyFill="1" applyBorder="1" applyAlignment="1">
      <alignment horizontal="center" vertical="center"/>
    </xf>
    <xf numFmtId="181" fontId="0" fillId="0" borderId="14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4" borderId="4" xfId="0" applyNumberFormat="1" applyFill="1" applyBorder="1" applyAlignment="1">
      <alignment horizontal="center" vertical="center"/>
    </xf>
    <xf numFmtId="181" fontId="0" fillId="4" borderId="0" xfId="0" applyNumberFormat="1" applyFill="1" applyAlignment="1">
      <alignment horizontal="center" vertical="center"/>
    </xf>
    <xf numFmtId="181" fontId="0" fillId="4" borderId="8" xfId="0" applyNumberFormat="1" applyFill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181" fontId="0" fillId="4" borderId="5" xfId="0" applyNumberFormat="1" applyFill="1" applyBorder="1" applyAlignment="1">
      <alignment horizontal="center" vertical="center"/>
    </xf>
    <xf numFmtId="181" fontId="0" fillId="4" borderId="9" xfId="0" applyNumberFormat="1" applyFill="1" applyBorder="1" applyAlignment="1">
      <alignment horizontal="center" vertical="center"/>
    </xf>
    <xf numFmtId="181" fontId="0" fillId="4" borderId="13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3" borderId="11" xfId="0" applyNumberFormat="1" applyFill="1" applyBorder="1" applyAlignment="1">
      <alignment horizontal="center" vertical="center"/>
    </xf>
    <xf numFmtId="181" fontId="0" fillId="4" borderId="11" xfId="0" applyNumberFormat="1" applyFill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4" borderId="2" xfId="0" applyNumberFormat="1" applyFill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1" fontId="3" fillId="0" borderId="2" xfId="0" applyNumberFormat="1" applyFont="1" applyBorder="1" applyAlignment="1">
      <alignment horizontal="center" vertical="center"/>
    </xf>
    <xf numFmtId="181" fontId="3" fillId="0" borderId="7" xfId="0" applyNumberFormat="1" applyFont="1" applyBorder="1" applyAlignment="1">
      <alignment horizontal="center" vertical="center"/>
    </xf>
    <xf numFmtId="181" fontId="3" fillId="0" borderId="15" xfId="0" applyNumberFormat="1" applyFont="1" applyBorder="1" applyAlignment="1">
      <alignment horizontal="center" vertical="center"/>
    </xf>
    <xf numFmtId="181" fontId="3" fillId="0" borderId="5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9" xfId="0" applyNumberFormat="1" applyFont="1" applyBorder="1" applyAlignment="1">
      <alignment horizontal="center" vertical="center"/>
    </xf>
    <xf numFmtId="181" fontId="0" fillId="3" borderId="7" xfId="0" applyNumberFormat="1" applyFill="1" applyBorder="1" applyAlignment="1">
      <alignment horizontal="center" vertical="center"/>
    </xf>
    <xf numFmtId="181" fontId="3" fillId="0" borderId="13" xfId="0" applyNumberFormat="1" applyFont="1" applyBorder="1" applyAlignment="1">
      <alignment horizontal="center" vertical="center"/>
    </xf>
    <xf numFmtId="181" fontId="3" fillId="0" borderId="4" xfId="0" applyNumberFormat="1" applyFont="1" applyBorder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1" fontId="3" fillId="0" borderId="8" xfId="0" applyNumberFormat="1" applyFont="1" applyBorder="1" applyAlignment="1">
      <alignment horizontal="center" vertical="center"/>
    </xf>
    <xf numFmtId="181" fontId="0" fillId="3" borderId="13" xfId="0" applyNumberFormat="1" applyFill="1" applyBorder="1" applyAlignment="1">
      <alignment horizontal="center" vertical="center"/>
    </xf>
    <xf numFmtId="185" fontId="0" fillId="0" borderId="0" xfId="0" applyNumberFormat="1">
      <alignment vertical="center"/>
    </xf>
    <xf numFmtId="11" fontId="0" fillId="10" borderId="0" xfId="0" applyNumberFormat="1" applyFill="1" applyAlignment="1">
      <alignment horizontal="left" vertical="center"/>
    </xf>
    <xf numFmtId="11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82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67AF-0618-D244-B64D-6DCB034BEB31}">
  <dimension ref="A1:C8"/>
  <sheetViews>
    <sheetView workbookViewId="0">
      <selection activeCell="B9" sqref="B9"/>
    </sheetView>
  </sheetViews>
  <sheetFormatPr baseColWidth="10" defaultRowHeight="20"/>
  <cols>
    <col min="1" max="1" width="20.42578125" customWidth="1"/>
    <col min="2" max="2" width="15.7109375" style="79" customWidth="1"/>
  </cols>
  <sheetData>
    <row r="1" spans="1:3">
      <c r="A1" t="s">
        <v>157</v>
      </c>
      <c r="B1" s="79" t="s">
        <v>166</v>
      </c>
      <c r="C1" t="s">
        <v>167</v>
      </c>
    </row>
    <row r="2" spans="1:3">
      <c r="A2" t="s">
        <v>163</v>
      </c>
      <c r="B2" s="78">
        <v>299792458</v>
      </c>
      <c r="C2" s="73" t="s">
        <v>168</v>
      </c>
    </row>
    <row r="3" spans="1:3">
      <c r="A3" t="s">
        <v>164</v>
      </c>
      <c r="B3" s="80">
        <v>9.2740100699999994E-24</v>
      </c>
      <c r="C3" t="s">
        <v>55</v>
      </c>
    </row>
    <row r="4" spans="1:3">
      <c r="A4" t="s">
        <v>165</v>
      </c>
      <c r="B4" s="80">
        <v>1.0545718099999999E-34</v>
      </c>
      <c r="C4" t="s">
        <v>56</v>
      </c>
    </row>
    <row r="5" spans="1:3">
      <c r="A5" t="s">
        <v>57</v>
      </c>
      <c r="B5" s="87">
        <v>1.473E-25</v>
      </c>
      <c r="C5" t="s">
        <v>58</v>
      </c>
    </row>
    <row r="6" spans="1:3">
      <c r="A6" t="s">
        <v>169</v>
      </c>
      <c r="B6" s="156">
        <v>1.3806490000000001E-23</v>
      </c>
      <c r="C6" t="s">
        <v>170</v>
      </c>
    </row>
    <row r="7" spans="1:3">
      <c r="A7" t="s">
        <v>172</v>
      </c>
      <c r="B7" s="156">
        <v>9.8066499999999994</v>
      </c>
      <c r="C7" t="s">
        <v>171</v>
      </c>
    </row>
    <row r="8" spans="1:3">
      <c r="A8" t="s">
        <v>173</v>
      </c>
      <c r="B8" s="79">
        <f>4*PI()*0.0000001</f>
        <v>1.2566370614359173E-6</v>
      </c>
      <c r="C8" t="s">
        <v>174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341E-C479-F148-961F-7E1EF5881736}">
  <dimension ref="A1:C13"/>
  <sheetViews>
    <sheetView zoomScale="161" workbookViewId="0">
      <selection activeCell="G12" sqref="G12"/>
    </sheetView>
  </sheetViews>
  <sheetFormatPr baseColWidth="10" defaultRowHeight="20"/>
  <sheetData>
    <row r="1" spans="1:3">
      <c r="A1" t="s">
        <v>104</v>
      </c>
      <c r="B1" t="s">
        <v>88</v>
      </c>
      <c r="C1" s="97" t="s">
        <v>118</v>
      </c>
    </row>
    <row r="2" spans="1:3">
      <c r="B2" t="s">
        <v>114</v>
      </c>
      <c r="C2" s="97" t="s">
        <v>119</v>
      </c>
    </row>
    <row r="3" spans="1:3">
      <c r="B3" t="s">
        <v>84</v>
      </c>
      <c r="C3" s="97" t="s">
        <v>116</v>
      </c>
    </row>
    <row r="4" spans="1:3">
      <c r="B4" t="s">
        <v>115</v>
      </c>
      <c r="C4" s="97" t="s">
        <v>120</v>
      </c>
    </row>
    <row r="5" spans="1:3">
      <c r="B5" t="s">
        <v>60</v>
      </c>
      <c r="C5" s="97" t="s">
        <v>121</v>
      </c>
    </row>
    <row r="6" spans="1:3">
      <c r="B6" t="s">
        <v>97</v>
      </c>
      <c r="C6" s="97" t="s">
        <v>122</v>
      </c>
    </row>
    <row r="7" spans="1:3">
      <c r="B7" t="s">
        <v>59</v>
      </c>
      <c r="C7" s="97" t="s">
        <v>117</v>
      </c>
    </row>
    <row r="8" spans="1:3">
      <c r="A8" t="s">
        <v>106</v>
      </c>
      <c r="C8" s="97"/>
    </row>
    <row r="9" spans="1:3">
      <c r="C9" s="97"/>
    </row>
    <row r="10" spans="1:3">
      <c r="C10" s="97"/>
    </row>
    <row r="11" spans="1:3">
      <c r="C11" s="97"/>
    </row>
    <row r="13" spans="1:3">
      <c r="C13" s="97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89FC-69A6-6B47-A046-1B3CABFBC8EB}">
  <dimension ref="A1:V30"/>
  <sheetViews>
    <sheetView zoomScale="85" workbookViewId="0">
      <selection activeCell="V5" sqref="V5"/>
    </sheetView>
  </sheetViews>
  <sheetFormatPr baseColWidth="10" defaultColWidth="4.85546875" defaultRowHeight="20"/>
  <cols>
    <col min="4" max="21" width="9.7109375" customWidth="1"/>
    <col min="22" max="22" width="28.28515625" customWidth="1"/>
  </cols>
  <sheetData>
    <row r="1" spans="1:22">
      <c r="D1" s="6" t="s">
        <v>0</v>
      </c>
      <c r="E1" s="7" t="s">
        <v>2</v>
      </c>
      <c r="H1" s="6" t="s">
        <v>7</v>
      </c>
      <c r="K1" s="9" t="s">
        <v>7</v>
      </c>
      <c r="L1" t="s">
        <v>3</v>
      </c>
      <c r="M1" s="9" t="s">
        <v>13</v>
      </c>
      <c r="N1" s="9"/>
      <c r="O1" t="s">
        <v>16</v>
      </c>
      <c r="R1" s="6"/>
      <c r="S1" s="6" t="s">
        <v>15</v>
      </c>
      <c r="T1" t="s">
        <v>17</v>
      </c>
      <c r="U1" s="10"/>
    </row>
    <row r="2" spans="1:22">
      <c r="A2" s="3"/>
      <c r="B2" s="3"/>
      <c r="C2" s="3"/>
      <c r="D2" s="14" t="s">
        <v>20</v>
      </c>
      <c r="E2" s="15" t="s">
        <v>38</v>
      </c>
      <c r="F2" s="3" t="s">
        <v>39</v>
      </c>
      <c r="G2" s="3" t="s">
        <v>40</v>
      </c>
      <c r="H2" s="14" t="s">
        <v>24</v>
      </c>
      <c r="I2" s="3" t="s">
        <v>25</v>
      </c>
      <c r="J2" s="3" t="s">
        <v>26</v>
      </c>
      <c r="K2" s="16" t="s">
        <v>27</v>
      </c>
      <c r="L2" s="3" t="s">
        <v>28</v>
      </c>
      <c r="M2" s="16" t="s">
        <v>29</v>
      </c>
      <c r="N2" s="22" t="s">
        <v>30</v>
      </c>
      <c r="O2" s="17" t="s">
        <v>31</v>
      </c>
      <c r="P2" s="18" t="s">
        <v>32</v>
      </c>
      <c r="Q2" s="3" t="s">
        <v>33</v>
      </c>
      <c r="R2" s="19" t="s">
        <v>34</v>
      </c>
      <c r="S2" s="19" t="s">
        <v>35</v>
      </c>
      <c r="T2" s="17" t="s">
        <v>36</v>
      </c>
      <c r="U2" s="20" t="s">
        <v>37</v>
      </c>
    </row>
    <row r="3" spans="1:22">
      <c r="A3" s="3"/>
      <c r="B3" s="3"/>
      <c r="C3" s="3"/>
      <c r="D3" s="14">
        <v>1</v>
      </c>
      <c r="E3" s="15">
        <v>2</v>
      </c>
      <c r="F3" s="3">
        <v>3</v>
      </c>
      <c r="G3" s="3">
        <v>4</v>
      </c>
      <c r="H3" s="14">
        <v>5</v>
      </c>
      <c r="I3" s="3">
        <v>6</v>
      </c>
      <c r="J3" s="3">
        <v>7</v>
      </c>
      <c r="K3" s="16">
        <v>8</v>
      </c>
      <c r="L3" s="3">
        <v>9</v>
      </c>
      <c r="M3" s="16">
        <v>10</v>
      </c>
      <c r="N3" s="22">
        <v>11</v>
      </c>
      <c r="O3" s="17">
        <v>12</v>
      </c>
      <c r="P3" s="18">
        <v>13</v>
      </c>
      <c r="Q3" s="3">
        <v>14</v>
      </c>
      <c r="R3" s="19">
        <v>15</v>
      </c>
      <c r="S3" s="19">
        <v>16</v>
      </c>
      <c r="T3" s="17">
        <v>17</v>
      </c>
      <c r="U3" s="20">
        <v>18</v>
      </c>
    </row>
    <row r="4" spans="1:22">
      <c r="A4" s="3" t="s">
        <v>0</v>
      </c>
      <c r="B4" s="3" t="s">
        <v>1</v>
      </c>
      <c r="C4" s="3">
        <v>1</v>
      </c>
      <c r="D4" s="23">
        <f>-SUM(D5:D21)</f>
        <v>0</v>
      </c>
      <c r="E4" s="26">
        <v>0</v>
      </c>
      <c r="F4" s="25">
        <v>47000</v>
      </c>
      <c r="G4" s="27">
        <v>0</v>
      </c>
      <c r="H4" s="26">
        <v>0</v>
      </c>
      <c r="I4" s="27">
        <v>0</v>
      </c>
      <c r="J4" s="27">
        <v>0</v>
      </c>
      <c r="K4" s="28">
        <v>44</v>
      </c>
      <c r="L4" s="29">
        <v>200000000</v>
      </c>
      <c r="M4" s="30">
        <v>0</v>
      </c>
      <c r="N4" s="30">
        <v>0</v>
      </c>
      <c r="O4" s="27">
        <v>0</v>
      </c>
      <c r="P4" s="27">
        <v>0</v>
      </c>
      <c r="Q4" s="27">
        <v>0</v>
      </c>
      <c r="R4" s="26">
        <v>0</v>
      </c>
      <c r="S4" s="26">
        <v>0</v>
      </c>
      <c r="T4" s="27">
        <v>0</v>
      </c>
      <c r="U4" s="31">
        <v>0</v>
      </c>
      <c r="V4" s="41">
        <v>0</v>
      </c>
    </row>
    <row r="5" spans="1:22">
      <c r="A5" s="4" t="s">
        <v>2</v>
      </c>
      <c r="B5" s="4" t="s">
        <v>6</v>
      </c>
      <c r="C5" s="4">
        <v>2</v>
      </c>
      <c r="D5" s="32">
        <f>-E4</f>
        <v>0</v>
      </c>
      <c r="E5" s="33">
        <f>-(E4+SUM(E6:E21))</f>
        <v>0</v>
      </c>
      <c r="F5" s="34">
        <v>0</v>
      </c>
      <c r="G5" s="34">
        <v>0</v>
      </c>
      <c r="H5" s="35">
        <v>256000</v>
      </c>
      <c r="I5" s="34">
        <v>0</v>
      </c>
      <c r="J5" s="34">
        <v>0</v>
      </c>
      <c r="K5" s="36">
        <v>0</v>
      </c>
      <c r="L5" s="34">
        <v>0</v>
      </c>
      <c r="M5" s="37">
        <v>8900000</v>
      </c>
      <c r="N5" s="36">
        <v>0</v>
      </c>
      <c r="O5" s="34">
        <v>0</v>
      </c>
      <c r="P5" s="34">
        <v>0</v>
      </c>
      <c r="Q5" s="34">
        <v>0</v>
      </c>
      <c r="R5" s="32">
        <v>0</v>
      </c>
      <c r="S5" s="32">
        <v>0</v>
      </c>
      <c r="T5" s="34">
        <v>0</v>
      </c>
      <c r="U5" s="38">
        <v>0</v>
      </c>
      <c r="V5" s="41">
        <v>0</v>
      </c>
    </row>
    <row r="6" spans="1:22">
      <c r="B6" t="s">
        <v>5</v>
      </c>
      <c r="C6">
        <v>3</v>
      </c>
      <c r="D6" s="39">
        <v>0</v>
      </c>
      <c r="E6" s="39">
        <v>0</v>
      </c>
      <c r="F6" s="40">
        <f>-SUM(F$4:F5,F7:F$21)</f>
        <v>-47000</v>
      </c>
      <c r="G6" s="41">
        <v>0</v>
      </c>
      <c r="H6" s="42">
        <v>192000</v>
      </c>
      <c r="I6" s="43">
        <v>312000</v>
      </c>
      <c r="J6" s="41">
        <v>0</v>
      </c>
      <c r="K6" s="44">
        <v>1340</v>
      </c>
      <c r="L6" s="41">
        <v>0</v>
      </c>
      <c r="M6" s="44">
        <v>27000000</v>
      </c>
      <c r="N6" s="45">
        <v>0</v>
      </c>
      <c r="O6" s="41">
        <v>0</v>
      </c>
      <c r="P6" s="41">
        <v>0</v>
      </c>
      <c r="Q6" s="41">
        <v>0</v>
      </c>
      <c r="R6" s="39">
        <v>0</v>
      </c>
      <c r="S6" s="39">
        <v>0</v>
      </c>
      <c r="T6" s="41">
        <v>0</v>
      </c>
      <c r="U6" s="46">
        <v>0</v>
      </c>
      <c r="V6" s="41">
        <v>0</v>
      </c>
    </row>
    <row r="7" spans="1:22">
      <c r="A7" s="3"/>
      <c r="B7" s="3" t="s">
        <v>4</v>
      </c>
      <c r="C7" s="3">
        <v>4</v>
      </c>
      <c r="D7" s="26">
        <v>0</v>
      </c>
      <c r="E7" s="26">
        <v>0</v>
      </c>
      <c r="F7" s="27">
        <v>0</v>
      </c>
      <c r="G7" s="40">
        <f>-SUM(G$4:G6,G8:G$21)</f>
        <v>0</v>
      </c>
      <c r="H7" s="47">
        <v>13000</v>
      </c>
      <c r="I7" s="29">
        <v>104000</v>
      </c>
      <c r="J7" s="29">
        <v>355000</v>
      </c>
      <c r="K7" s="48">
        <v>660</v>
      </c>
      <c r="L7" s="27">
        <v>0</v>
      </c>
      <c r="M7" s="48">
        <v>42000000</v>
      </c>
      <c r="N7" s="30">
        <v>0</v>
      </c>
      <c r="O7" s="27">
        <v>0</v>
      </c>
      <c r="P7" s="27">
        <v>0</v>
      </c>
      <c r="Q7" s="27">
        <v>0</v>
      </c>
      <c r="R7" s="26">
        <v>0</v>
      </c>
      <c r="S7" s="26">
        <v>0</v>
      </c>
      <c r="T7" s="27">
        <v>0</v>
      </c>
      <c r="U7" s="49">
        <v>61400000</v>
      </c>
      <c r="V7" s="41">
        <v>0</v>
      </c>
    </row>
    <row r="8" spans="1:22">
      <c r="A8" s="5" t="s">
        <v>7</v>
      </c>
      <c r="B8" s="5" t="s">
        <v>8</v>
      </c>
      <c r="C8" s="5">
        <v>5</v>
      </c>
      <c r="D8" s="32">
        <v>0</v>
      </c>
      <c r="E8" s="32">
        <v>0</v>
      </c>
      <c r="F8" s="34">
        <v>0</v>
      </c>
      <c r="G8" s="34">
        <v>0</v>
      </c>
      <c r="H8" s="33">
        <f>-SUM(H$4:H7,H9:H$21)</f>
        <v>-461000</v>
      </c>
      <c r="I8" s="34">
        <v>0</v>
      </c>
      <c r="J8" s="34">
        <v>0</v>
      </c>
      <c r="K8" s="36">
        <v>0</v>
      </c>
      <c r="L8" s="34">
        <v>0</v>
      </c>
      <c r="M8" s="36">
        <v>0</v>
      </c>
      <c r="N8" s="36">
        <v>0</v>
      </c>
      <c r="O8" s="50">
        <v>270000</v>
      </c>
      <c r="P8" s="50">
        <v>180000</v>
      </c>
      <c r="Q8" s="50">
        <v>8.5000000000000006E-3</v>
      </c>
      <c r="R8" s="32">
        <v>0</v>
      </c>
      <c r="S8" s="32">
        <v>0</v>
      </c>
      <c r="T8" s="34">
        <v>0</v>
      </c>
      <c r="U8" s="38">
        <v>0</v>
      </c>
      <c r="V8" s="41">
        <v>0</v>
      </c>
    </row>
    <row r="9" spans="1:22">
      <c r="B9" t="s">
        <v>9</v>
      </c>
      <c r="C9">
        <v>6</v>
      </c>
      <c r="D9" s="39">
        <v>0</v>
      </c>
      <c r="E9" s="39">
        <v>0</v>
      </c>
      <c r="F9" s="41">
        <v>0</v>
      </c>
      <c r="G9" s="41">
        <v>0</v>
      </c>
      <c r="H9" s="39">
        <v>0</v>
      </c>
      <c r="I9" s="40">
        <f>-SUM(I$4:I8,I10:I$21)</f>
        <v>-416000</v>
      </c>
      <c r="J9" s="41">
        <v>0</v>
      </c>
      <c r="K9" s="45">
        <v>0</v>
      </c>
      <c r="L9" s="41">
        <v>0</v>
      </c>
      <c r="M9" s="45">
        <v>0</v>
      </c>
      <c r="N9" s="45">
        <v>0</v>
      </c>
      <c r="O9" s="41">
        <v>0</v>
      </c>
      <c r="P9" s="51">
        <v>340000</v>
      </c>
      <c r="Q9" s="51">
        <v>81000</v>
      </c>
      <c r="R9" s="39">
        <v>0</v>
      </c>
      <c r="S9" s="39">
        <v>0</v>
      </c>
      <c r="T9" s="41">
        <v>0</v>
      </c>
      <c r="U9" s="46">
        <v>0</v>
      </c>
      <c r="V9" s="41">
        <v>0</v>
      </c>
    </row>
    <row r="10" spans="1:22">
      <c r="A10" s="3"/>
      <c r="B10" s="3" t="s">
        <v>10</v>
      </c>
      <c r="C10" s="3">
        <v>7</v>
      </c>
      <c r="D10" s="26">
        <v>0</v>
      </c>
      <c r="E10" s="26">
        <v>0</v>
      </c>
      <c r="F10" s="27">
        <v>0</v>
      </c>
      <c r="G10" s="27">
        <v>0</v>
      </c>
      <c r="H10" s="26">
        <v>0</v>
      </c>
      <c r="I10" s="27">
        <v>0</v>
      </c>
      <c r="J10" s="40">
        <f>-SUM(J$4:J9,J11:J$21)</f>
        <v>-355000</v>
      </c>
      <c r="K10" s="30">
        <v>0</v>
      </c>
      <c r="L10" s="27">
        <v>0</v>
      </c>
      <c r="M10" s="30">
        <v>0</v>
      </c>
      <c r="N10" s="30">
        <v>0</v>
      </c>
      <c r="O10" s="27">
        <v>0</v>
      </c>
      <c r="P10" s="27">
        <v>0</v>
      </c>
      <c r="Q10" s="109">
        <v>355000</v>
      </c>
      <c r="R10" s="26">
        <v>0</v>
      </c>
      <c r="S10" s="26">
        <v>0</v>
      </c>
      <c r="T10" s="27">
        <v>0</v>
      </c>
      <c r="U10" s="31">
        <v>0</v>
      </c>
      <c r="V10" s="41">
        <v>0</v>
      </c>
    </row>
    <row r="11" spans="1:22">
      <c r="A11" s="8" t="s">
        <v>7</v>
      </c>
      <c r="B11" s="8" t="s">
        <v>11</v>
      </c>
      <c r="C11" s="8">
        <v>8</v>
      </c>
      <c r="D11" s="52">
        <v>0</v>
      </c>
      <c r="E11" s="52">
        <v>0</v>
      </c>
      <c r="F11" s="53">
        <v>0</v>
      </c>
      <c r="G11" s="53">
        <v>0</v>
      </c>
      <c r="H11" s="52">
        <v>0</v>
      </c>
      <c r="I11" s="53">
        <v>0</v>
      </c>
      <c r="J11" s="53">
        <v>0</v>
      </c>
      <c r="K11" s="54">
        <f>-SUM(K$4:K10,K12:K$21)</f>
        <v>-2044</v>
      </c>
      <c r="L11" s="55">
        <v>3900</v>
      </c>
      <c r="M11" s="56">
        <v>0</v>
      </c>
      <c r="N11" s="56">
        <v>0</v>
      </c>
      <c r="O11" s="53">
        <v>0</v>
      </c>
      <c r="P11" s="53">
        <v>0</v>
      </c>
      <c r="Q11" s="57">
        <v>3900000</v>
      </c>
      <c r="R11" s="52">
        <v>0</v>
      </c>
      <c r="S11" s="52">
        <v>0</v>
      </c>
      <c r="T11" s="53">
        <v>0</v>
      </c>
      <c r="U11" s="58">
        <v>0</v>
      </c>
      <c r="V11" s="41">
        <v>0</v>
      </c>
    </row>
    <row r="12" spans="1:22">
      <c r="A12" s="11" t="s">
        <v>3</v>
      </c>
      <c r="B12" s="12" t="s">
        <v>12</v>
      </c>
      <c r="C12" s="12">
        <v>9</v>
      </c>
      <c r="D12" s="52">
        <v>0</v>
      </c>
      <c r="E12" s="52">
        <v>0</v>
      </c>
      <c r="F12" s="53">
        <v>0</v>
      </c>
      <c r="G12" s="53">
        <v>0</v>
      </c>
      <c r="H12" s="52">
        <v>0</v>
      </c>
      <c r="I12" s="53">
        <v>0</v>
      </c>
      <c r="J12" s="53">
        <v>0</v>
      </c>
      <c r="K12" s="56">
        <v>0</v>
      </c>
      <c r="L12" s="40">
        <f>-SUM(L$4:L11,L13:L$21)</f>
        <v>-200003900</v>
      </c>
      <c r="M12" s="56">
        <v>0</v>
      </c>
      <c r="N12" s="56">
        <v>0</v>
      </c>
      <c r="O12" s="53">
        <v>0</v>
      </c>
      <c r="P12" s="53">
        <v>0</v>
      </c>
      <c r="Q12" s="53">
        <v>0</v>
      </c>
      <c r="R12" s="52">
        <v>0</v>
      </c>
      <c r="S12" s="52">
        <v>0</v>
      </c>
      <c r="T12" s="53">
        <v>0</v>
      </c>
      <c r="U12" s="58">
        <v>0</v>
      </c>
      <c r="V12" s="41">
        <v>0</v>
      </c>
    </row>
    <row r="13" spans="1:22">
      <c r="A13" s="8" t="s">
        <v>13</v>
      </c>
      <c r="B13" s="8" t="s">
        <v>14</v>
      </c>
      <c r="C13" s="8">
        <v>10</v>
      </c>
      <c r="D13" s="52">
        <v>0</v>
      </c>
      <c r="E13" s="52">
        <v>0</v>
      </c>
      <c r="F13" s="53">
        <v>0</v>
      </c>
      <c r="G13" s="53">
        <v>0</v>
      </c>
      <c r="H13" s="52">
        <v>0</v>
      </c>
      <c r="I13" s="53">
        <v>0</v>
      </c>
      <c r="J13" s="53">
        <v>0</v>
      </c>
      <c r="K13" s="59">
        <v>0</v>
      </c>
      <c r="L13" s="60">
        <v>0</v>
      </c>
      <c r="M13" s="54">
        <f>-SUM(M$4:M12,M14:M$21)</f>
        <v>-77900000</v>
      </c>
      <c r="N13" s="59">
        <v>0</v>
      </c>
      <c r="O13" s="53">
        <v>0</v>
      </c>
      <c r="P13" s="53">
        <v>0</v>
      </c>
      <c r="Q13" s="57">
        <v>6700000</v>
      </c>
      <c r="R13" s="59">
        <v>0</v>
      </c>
      <c r="S13" s="61">
        <v>0</v>
      </c>
      <c r="T13" s="60">
        <v>0</v>
      </c>
      <c r="U13" s="62">
        <v>0</v>
      </c>
      <c r="V13" s="69">
        <v>0</v>
      </c>
    </row>
    <row r="14" spans="1:22">
      <c r="A14" s="8"/>
      <c r="B14" s="13" t="s">
        <v>1</v>
      </c>
      <c r="C14" s="17">
        <v>11</v>
      </c>
      <c r="D14" s="63">
        <v>0</v>
      </c>
      <c r="E14" s="63">
        <v>0</v>
      </c>
      <c r="F14" s="64">
        <v>0</v>
      </c>
      <c r="G14" s="64">
        <v>0</v>
      </c>
      <c r="H14" s="63">
        <v>0</v>
      </c>
      <c r="I14" s="64">
        <v>0</v>
      </c>
      <c r="J14" s="64">
        <v>0</v>
      </c>
      <c r="K14" s="65">
        <v>0</v>
      </c>
      <c r="L14" s="64">
        <v>0</v>
      </c>
      <c r="M14" s="65">
        <v>0</v>
      </c>
      <c r="N14" s="66">
        <f>-SUM(N$4:N13,N15:N$21)</f>
        <v>0</v>
      </c>
      <c r="O14" s="27">
        <v>0</v>
      </c>
      <c r="P14" s="53">
        <v>0</v>
      </c>
      <c r="Q14" s="62">
        <v>0</v>
      </c>
      <c r="R14" s="65">
        <v>0</v>
      </c>
      <c r="S14" s="61">
        <v>0</v>
      </c>
      <c r="T14" s="60">
        <v>0</v>
      </c>
      <c r="U14" s="67">
        <v>0</v>
      </c>
      <c r="V14" s="69">
        <v>0</v>
      </c>
    </row>
    <row r="15" spans="1:22">
      <c r="A15" t="s">
        <v>16</v>
      </c>
      <c r="B15" s="1" t="s">
        <v>6</v>
      </c>
      <c r="C15" s="1">
        <v>12</v>
      </c>
      <c r="D15" s="68">
        <v>0</v>
      </c>
      <c r="E15" s="68">
        <v>0</v>
      </c>
      <c r="F15" s="69">
        <v>0</v>
      </c>
      <c r="G15" s="69">
        <v>0</v>
      </c>
      <c r="H15" s="68">
        <v>0</v>
      </c>
      <c r="I15" s="69">
        <v>0</v>
      </c>
      <c r="J15" s="69">
        <v>0</v>
      </c>
      <c r="K15" s="70">
        <v>0</v>
      </c>
      <c r="L15" s="69">
        <v>0</v>
      </c>
      <c r="M15" s="70">
        <v>0</v>
      </c>
      <c r="N15" s="70">
        <v>0</v>
      </c>
      <c r="O15" s="40">
        <f>-SUM(O$4:O14,O16:O$21)</f>
        <v>-270000</v>
      </c>
      <c r="P15" s="41">
        <v>0</v>
      </c>
      <c r="Q15" s="69">
        <v>0</v>
      </c>
      <c r="R15" s="68">
        <v>0</v>
      </c>
      <c r="S15" s="39">
        <v>0</v>
      </c>
      <c r="T15" s="41">
        <v>0</v>
      </c>
      <c r="U15" s="46">
        <v>0</v>
      </c>
      <c r="V15" s="41">
        <v>0</v>
      </c>
    </row>
    <row r="16" spans="1:22">
      <c r="B16" s="2" t="s">
        <v>5</v>
      </c>
      <c r="C16" s="2">
        <v>13</v>
      </c>
      <c r="D16" s="39">
        <v>0</v>
      </c>
      <c r="E16" s="39">
        <v>0</v>
      </c>
      <c r="F16" s="41">
        <v>0</v>
      </c>
      <c r="G16" s="41">
        <v>0</v>
      </c>
      <c r="H16" s="39">
        <v>0</v>
      </c>
      <c r="I16" s="41">
        <v>0</v>
      </c>
      <c r="J16" s="41">
        <v>0</v>
      </c>
      <c r="K16" s="45">
        <v>0</v>
      </c>
      <c r="L16" s="41">
        <v>0</v>
      </c>
      <c r="M16" s="45">
        <v>0</v>
      </c>
      <c r="N16" s="45">
        <v>0</v>
      </c>
      <c r="O16" s="41">
        <v>0</v>
      </c>
      <c r="P16" s="40">
        <f>-SUM(P$4:P15,P17:P$21)</f>
        <v>-520000</v>
      </c>
      <c r="Q16" s="41">
        <v>0</v>
      </c>
      <c r="R16" s="39">
        <v>0</v>
      </c>
      <c r="S16" s="39">
        <v>0</v>
      </c>
      <c r="T16" s="41">
        <v>0</v>
      </c>
      <c r="U16" s="46">
        <v>0</v>
      </c>
      <c r="V16" s="41">
        <v>0</v>
      </c>
    </row>
    <row r="17" spans="1:22">
      <c r="B17" s="3" t="s">
        <v>4</v>
      </c>
      <c r="C17" s="3">
        <v>14</v>
      </c>
      <c r="D17" s="26">
        <v>0</v>
      </c>
      <c r="E17" s="26">
        <v>0</v>
      </c>
      <c r="F17" s="27">
        <v>0</v>
      </c>
      <c r="G17" s="27">
        <v>0</v>
      </c>
      <c r="H17" s="26">
        <v>0</v>
      </c>
      <c r="I17" s="27">
        <v>0</v>
      </c>
      <c r="J17" s="27">
        <v>0</v>
      </c>
      <c r="K17" s="30">
        <v>0</v>
      </c>
      <c r="L17" s="27">
        <v>0</v>
      </c>
      <c r="M17" s="30">
        <v>0</v>
      </c>
      <c r="N17" s="30">
        <v>0</v>
      </c>
      <c r="O17" s="27">
        <v>0</v>
      </c>
      <c r="P17" s="27">
        <v>0</v>
      </c>
      <c r="Q17" s="40">
        <f>-SUM(Q$4:Q16,Q18:Q$21)</f>
        <v>-11036000.0085</v>
      </c>
      <c r="R17" s="26">
        <v>0</v>
      </c>
      <c r="S17" s="26">
        <v>0</v>
      </c>
      <c r="T17" s="27">
        <v>0</v>
      </c>
      <c r="U17" s="49">
        <v>170000</v>
      </c>
      <c r="V17" s="41">
        <v>0</v>
      </c>
    </row>
    <row r="18" spans="1:22">
      <c r="A18" s="8"/>
      <c r="B18" s="17" t="s">
        <v>12</v>
      </c>
      <c r="C18" s="3">
        <v>15</v>
      </c>
      <c r="D18" s="56">
        <v>0</v>
      </c>
      <c r="E18" s="52">
        <v>0</v>
      </c>
      <c r="F18" s="53">
        <v>0</v>
      </c>
      <c r="G18" s="53">
        <v>0</v>
      </c>
      <c r="H18" s="52">
        <v>0</v>
      </c>
      <c r="I18" s="53">
        <v>0</v>
      </c>
      <c r="J18" s="53">
        <v>0</v>
      </c>
      <c r="K18" s="56">
        <v>0</v>
      </c>
      <c r="L18" s="53">
        <v>0</v>
      </c>
      <c r="M18" s="56">
        <v>0</v>
      </c>
      <c r="N18" s="56">
        <v>0</v>
      </c>
      <c r="O18" s="53">
        <v>0</v>
      </c>
      <c r="P18" s="53">
        <v>0</v>
      </c>
      <c r="Q18" s="53">
        <v>0</v>
      </c>
      <c r="R18" s="40">
        <f>-SUM(R$4:R17,R19:R$21)</f>
        <v>0</v>
      </c>
      <c r="S18" s="52">
        <v>0</v>
      </c>
      <c r="T18" s="53">
        <v>0</v>
      </c>
      <c r="U18" s="58">
        <v>0</v>
      </c>
      <c r="V18" s="41">
        <v>0</v>
      </c>
    </row>
    <row r="19" spans="1:22">
      <c r="A19" t="s">
        <v>15</v>
      </c>
      <c r="B19" s="1" t="s">
        <v>8</v>
      </c>
      <c r="C19" s="1">
        <v>16</v>
      </c>
      <c r="D19" s="45">
        <v>0</v>
      </c>
      <c r="E19" s="68">
        <v>0</v>
      </c>
      <c r="F19" s="69">
        <v>0</v>
      </c>
      <c r="G19" s="69">
        <v>0</v>
      </c>
      <c r="H19" s="68">
        <v>0</v>
      </c>
      <c r="I19" s="69">
        <v>0</v>
      </c>
      <c r="J19" s="69">
        <v>0</v>
      </c>
      <c r="K19" s="45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39">
        <v>0</v>
      </c>
      <c r="S19" s="40">
        <f>-SUM(S$4:S18,S20:S$21)</f>
        <v>0</v>
      </c>
      <c r="T19" s="41">
        <v>0</v>
      </c>
      <c r="U19" s="46">
        <v>0</v>
      </c>
      <c r="V19" s="41">
        <v>0</v>
      </c>
    </row>
    <row r="20" spans="1:22">
      <c r="B20" s="1" t="s">
        <v>9</v>
      </c>
      <c r="C20" s="1">
        <v>17</v>
      </c>
      <c r="D20" s="39">
        <v>0</v>
      </c>
      <c r="E20" s="39">
        <v>0</v>
      </c>
      <c r="F20" s="41">
        <v>0</v>
      </c>
      <c r="G20" s="41">
        <v>0</v>
      </c>
      <c r="H20" s="39">
        <v>0</v>
      </c>
      <c r="I20" s="41">
        <v>0</v>
      </c>
      <c r="J20" s="41">
        <v>0</v>
      </c>
      <c r="K20" s="45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39">
        <v>0</v>
      </c>
      <c r="S20" s="39">
        <v>0</v>
      </c>
      <c r="T20" s="40">
        <f>-SUM(T$4:T19,T21:T$21)</f>
        <v>0</v>
      </c>
      <c r="U20" s="46">
        <v>0</v>
      </c>
      <c r="V20" s="41">
        <v>0</v>
      </c>
    </row>
    <row r="21" spans="1:22">
      <c r="A21" s="3"/>
      <c r="B21" s="3" t="s">
        <v>10</v>
      </c>
      <c r="C21" s="3">
        <v>18</v>
      </c>
      <c r="D21" s="26">
        <v>0</v>
      </c>
      <c r="E21" s="26">
        <v>0</v>
      </c>
      <c r="F21" s="27">
        <v>0</v>
      </c>
      <c r="G21" s="27">
        <v>0</v>
      </c>
      <c r="H21" s="26">
        <v>0</v>
      </c>
      <c r="I21" s="27">
        <v>0</v>
      </c>
      <c r="J21" s="27">
        <v>0</v>
      </c>
      <c r="K21" s="30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6">
        <v>0</v>
      </c>
      <c r="S21" s="26">
        <v>0</v>
      </c>
      <c r="T21" s="27">
        <v>0</v>
      </c>
      <c r="U21" s="71">
        <f>-SUM(U$4:U20)</f>
        <v>-61570000</v>
      </c>
      <c r="V21" s="41">
        <v>0</v>
      </c>
    </row>
    <row r="22" spans="1:22">
      <c r="C22" t="s">
        <v>186</v>
      </c>
      <c r="D22" s="39">
        <v>0</v>
      </c>
      <c r="E22" s="39">
        <v>0</v>
      </c>
      <c r="F22" s="41">
        <v>0</v>
      </c>
      <c r="G22" s="41">
        <v>0</v>
      </c>
      <c r="H22" s="39">
        <v>0</v>
      </c>
      <c r="I22" s="41">
        <v>0</v>
      </c>
      <c r="J22" s="41">
        <v>0</v>
      </c>
      <c r="K22" s="45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6">
        <v>0</v>
      </c>
      <c r="V22" s="41">
        <v>0</v>
      </c>
    </row>
    <row r="23" spans="1:22">
      <c r="C23" t="s">
        <v>18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91">
        <v>0</v>
      </c>
      <c r="U23" s="91">
        <v>0</v>
      </c>
    </row>
    <row r="25" spans="1:22">
      <c r="H25" s="89"/>
      <c r="Q25" s="89"/>
      <c r="R25" s="89"/>
    </row>
    <row r="26" spans="1:22">
      <c r="H26" s="89"/>
      <c r="I26" s="89"/>
      <c r="Q26" s="89"/>
      <c r="R26" s="89"/>
    </row>
    <row r="27" spans="1:22">
      <c r="H27" s="89"/>
      <c r="I27" s="89"/>
      <c r="J27" s="89"/>
      <c r="Q27" s="89"/>
      <c r="R27" s="89"/>
    </row>
    <row r="28" spans="1:22">
      <c r="H28" s="89"/>
    </row>
    <row r="29" spans="1:22">
      <c r="H29" s="89"/>
      <c r="I29" s="89"/>
    </row>
    <row r="30" spans="1:22">
      <c r="H30" s="89"/>
      <c r="I30" s="89"/>
      <c r="J30" s="89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E438-B15E-4D4E-8425-052176B71F49}">
  <dimension ref="A1:U22"/>
  <sheetViews>
    <sheetView zoomScale="75" workbookViewId="0">
      <selection activeCell="Q10" sqref="Q10"/>
    </sheetView>
  </sheetViews>
  <sheetFormatPr baseColWidth="10" defaultColWidth="4.85546875" defaultRowHeight="20"/>
  <cols>
    <col min="3" max="3" width="3.42578125" customWidth="1"/>
    <col min="4" max="21" width="8.28515625" customWidth="1"/>
    <col min="22" max="22" width="28.28515625" customWidth="1"/>
  </cols>
  <sheetData>
    <row r="1" spans="1:21">
      <c r="D1" s="6" t="s">
        <v>0</v>
      </c>
      <c r="E1" s="7" t="s">
        <v>2</v>
      </c>
      <c r="H1" s="6" t="s">
        <v>7</v>
      </c>
      <c r="K1" s="9" t="s">
        <v>7</v>
      </c>
      <c r="L1" t="s">
        <v>3</v>
      </c>
      <c r="M1" s="9" t="s">
        <v>13</v>
      </c>
      <c r="N1" s="100"/>
      <c r="O1" s="101" t="s">
        <v>16</v>
      </c>
      <c r="P1" s="101"/>
      <c r="Q1" s="101"/>
      <c r="R1" s="102"/>
      <c r="S1" s="102" t="s">
        <v>15</v>
      </c>
      <c r="T1" s="101"/>
      <c r="U1" s="10"/>
    </row>
    <row r="2" spans="1:21">
      <c r="A2" s="3"/>
      <c r="B2" s="3"/>
      <c r="C2" s="3"/>
      <c r="D2" s="14" t="s">
        <v>20</v>
      </c>
      <c r="E2" s="15" t="s">
        <v>21</v>
      </c>
      <c r="F2" s="3" t="s">
        <v>22</v>
      </c>
      <c r="G2" s="3" t="s">
        <v>23</v>
      </c>
      <c r="H2" s="14" t="s">
        <v>24</v>
      </c>
      <c r="I2" s="3" t="s">
        <v>25</v>
      </c>
      <c r="J2" s="3" t="s">
        <v>26</v>
      </c>
      <c r="K2" s="16" t="s">
        <v>27</v>
      </c>
      <c r="L2" s="3" t="s">
        <v>28</v>
      </c>
      <c r="M2" s="16" t="s">
        <v>29</v>
      </c>
      <c r="N2" s="103" t="s">
        <v>30</v>
      </c>
      <c r="O2" s="104" t="s">
        <v>31</v>
      </c>
      <c r="P2" s="104" t="s">
        <v>32</v>
      </c>
      <c r="Q2" s="104" t="s">
        <v>33</v>
      </c>
      <c r="R2" s="105" t="s">
        <v>34</v>
      </c>
      <c r="S2" s="105" t="s">
        <v>35</v>
      </c>
      <c r="T2" s="104" t="s">
        <v>36</v>
      </c>
      <c r="U2" s="20" t="s">
        <v>37</v>
      </c>
    </row>
    <row r="3" spans="1:21">
      <c r="A3" s="3"/>
      <c r="B3" s="3"/>
      <c r="C3" s="3"/>
      <c r="D3" s="14">
        <v>1</v>
      </c>
      <c r="E3" s="15">
        <v>2</v>
      </c>
      <c r="F3" s="3">
        <v>3</v>
      </c>
      <c r="G3" s="3">
        <v>4</v>
      </c>
      <c r="H3" s="14">
        <v>5</v>
      </c>
      <c r="I3" s="3">
        <v>6</v>
      </c>
      <c r="J3" s="3">
        <v>7</v>
      </c>
      <c r="K3" s="16">
        <v>8</v>
      </c>
      <c r="L3" s="3">
        <v>9</v>
      </c>
      <c r="M3" s="16">
        <v>10</v>
      </c>
      <c r="N3" s="103">
        <v>11</v>
      </c>
      <c r="O3" s="104">
        <v>12</v>
      </c>
      <c r="P3" s="104">
        <v>13</v>
      </c>
      <c r="Q3" s="104">
        <v>14</v>
      </c>
      <c r="R3" s="105">
        <v>15</v>
      </c>
      <c r="S3" s="105">
        <v>16</v>
      </c>
      <c r="T3" s="104">
        <v>17</v>
      </c>
      <c r="U3" s="20">
        <v>18</v>
      </c>
    </row>
    <row r="4" spans="1:21">
      <c r="A4" s="3" t="s">
        <v>0</v>
      </c>
      <c r="B4" s="3" t="s">
        <v>1</v>
      </c>
      <c r="C4" s="3">
        <v>1</v>
      </c>
      <c r="D4" s="107">
        <f>-SUM(D5:D21)</f>
        <v>0</v>
      </c>
      <c r="E4" s="108">
        <v>0</v>
      </c>
      <c r="F4" s="109">
        <v>47000</v>
      </c>
      <c r="G4" s="109">
        <v>0</v>
      </c>
      <c r="H4" s="110">
        <v>0</v>
      </c>
      <c r="I4" s="111">
        <v>0</v>
      </c>
      <c r="J4" s="111">
        <v>0</v>
      </c>
      <c r="K4" s="112">
        <v>44</v>
      </c>
      <c r="L4" s="113">
        <v>201000000</v>
      </c>
      <c r="M4" s="114">
        <v>0</v>
      </c>
      <c r="N4" s="114">
        <v>0</v>
      </c>
      <c r="O4" s="111">
        <v>0</v>
      </c>
      <c r="P4" s="111">
        <v>0</v>
      </c>
      <c r="Q4" s="111">
        <v>0</v>
      </c>
      <c r="R4" s="110">
        <v>0</v>
      </c>
      <c r="S4" s="110">
        <v>0</v>
      </c>
      <c r="T4" s="111">
        <v>0</v>
      </c>
      <c r="U4" s="115">
        <v>0</v>
      </c>
    </row>
    <row r="5" spans="1:21">
      <c r="A5" s="4" t="s">
        <v>2</v>
      </c>
      <c r="B5" s="4" t="s">
        <v>6</v>
      </c>
      <c r="C5" s="4">
        <v>2</v>
      </c>
      <c r="D5" s="116">
        <f>-E4</f>
        <v>0</v>
      </c>
      <c r="E5" s="117">
        <f>-(E4+SUM(E6:E21))</f>
        <v>0</v>
      </c>
      <c r="F5" s="118">
        <v>0</v>
      </c>
      <c r="G5" s="118">
        <v>0</v>
      </c>
      <c r="H5" s="119">
        <v>200000</v>
      </c>
      <c r="I5" s="118">
        <v>0</v>
      </c>
      <c r="J5" s="118">
        <v>0</v>
      </c>
      <c r="K5" s="120">
        <v>0</v>
      </c>
      <c r="L5" s="118">
        <v>0</v>
      </c>
      <c r="M5" s="121">
        <v>8900000</v>
      </c>
      <c r="N5" s="120">
        <v>0</v>
      </c>
      <c r="O5" s="118">
        <v>0</v>
      </c>
      <c r="P5" s="118">
        <v>0</v>
      </c>
      <c r="Q5" s="118">
        <v>0</v>
      </c>
      <c r="R5" s="116">
        <v>0</v>
      </c>
      <c r="S5" s="116">
        <v>0</v>
      </c>
      <c r="T5" s="118">
        <v>0</v>
      </c>
      <c r="U5" s="122">
        <v>0</v>
      </c>
    </row>
    <row r="6" spans="1:21">
      <c r="B6" t="s">
        <v>5</v>
      </c>
      <c r="C6">
        <v>3</v>
      </c>
      <c r="D6" s="123">
        <v>0</v>
      </c>
      <c r="E6" s="123">
        <v>0</v>
      </c>
      <c r="F6" s="124">
        <f>-SUM(F$4:F5,F7:F$21)</f>
        <v>-47000</v>
      </c>
      <c r="G6" s="125">
        <v>0</v>
      </c>
      <c r="H6" s="126">
        <v>150000</v>
      </c>
      <c r="I6" s="127">
        <v>270000</v>
      </c>
      <c r="J6" s="125">
        <v>0</v>
      </c>
      <c r="K6" s="128">
        <v>1340</v>
      </c>
      <c r="L6" s="125">
        <v>0</v>
      </c>
      <c r="M6" s="128">
        <v>27000000</v>
      </c>
      <c r="N6" s="129">
        <v>0</v>
      </c>
      <c r="O6" s="125">
        <v>0</v>
      </c>
      <c r="P6" s="125">
        <v>0</v>
      </c>
      <c r="Q6" s="125">
        <v>0</v>
      </c>
      <c r="R6" s="123">
        <v>0</v>
      </c>
      <c r="S6" s="123">
        <v>0</v>
      </c>
      <c r="T6" s="125">
        <v>0</v>
      </c>
      <c r="U6" s="130">
        <v>0</v>
      </c>
    </row>
    <row r="7" spans="1:21">
      <c r="A7" s="3"/>
      <c r="B7" s="3" t="s">
        <v>4</v>
      </c>
      <c r="C7" s="3">
        <v>4</v>
      </c>
      <c r="D7" s="110">
        <v>0</v>
      </c>
      <c r="E7" s="110">
        <v>0</v>
      </c>
      <c r="F7" s="111">
        <v>0</v>
      </c>
      <c r="G7" s="124">
        <f>-SUM(G$4:G6,G8:G$21)</f>
        <v>0</v>
      </c>
      <c r="H7" s="131">
        <v>10000</v>
      </c>
      <c r="I7" s="113">
        <v>90000</v>
      </c>
      <c r="J7" s="113">
        <v>360000</v>
      </c>
      <c r="K7" s="132">
        <v>660</v>
      </c>
      <c r="L7" s="111">
        <v>0</v>
      </c>
      <c r="M7" s="132">
        <v>42000000</v>
      </c>
      <c r="N7" s="114">
        <v>0</v>
      </c>
      <c r="O7" s="111">
        <v>0</v>
      </c>
      <c r="P7" s="111">
        <v>0</v>
      </c>
      <c r="Q7" s="111">
        <v>0</v>
      </c>
      <c r="R7" s="110">
        <v>0</v>
      </c>
      <c r="S7" s="110">
        <v>0</v>
      </c>
      <c r="T7" s="111">
        <v>0</v>
      </c>
      <c r="U7" s="133">
        <v>58000000</v>
      </c>
    </row>
    <row r="8" spans="1:21">
      <c r="A8" s="5" t="s">
        <v>7</v>
      </c>
      <c r="B8" s="5" t="s">
        <v>8</v>
      </c>
      <c r="C8" s="5">
        <v>5</v>
      </c>
      <c r="D8" s="116">
        <v>0</v>
      </c>
      <c r="E8" s="116">
        <v>0</v>
      </c>
      <c r="F8" s="118">
        <v>0</v>
      </c>
      <c r="G8" s="118">
        <v>0</v>
      </c>
      <c r="H8" s="124">
        <f>-SUM(H$4:H7,H9:H$21)</f>
        <v>-360000</v>
      </c>
      <c r="I8" s="118">
        <v>0</v>
      </c>
      <c r="J8" s="118">
        <v>0</v>
      </c>
      <c r="K8" s="120">
        <v>0</v>
      </c>
      <c r="L8" s="118">
        <v>0</v>
      </c>
      <c r="M8" s="120">
        <v>0</v>
      </c>
      <c r="N8" s="120">
        <v>0</v>
      </c>
      <c r="O8" s="118">
        <v>0</v>
      </c>
      <c r="P8" s="118">
        <v>0</v>
      </c>
      <c r="Q8" s="134">
        <v>150000</v>
      </c>
      <c r="R8" s="116">
        <v>0</v>
      </c>
      <c r="S8" s="116">
        <v>0</v>
      </c>
      <c r="T8" s="118">
        <v>0</v>
      </c>
      <c r="U8" s="122">
        <v>0</v>
      </c>
    </row>
    <row r="9" spans="1:21">
      <c r="B9" t="s">
        <v>9</v>
      </c>
      <c r="C9">
        <v>6</v>
      </c>
      <c r="D9" s="123">
        <v>0</v>
      </c>
      <c r="E9" s="123">
        <v>0</v>
      </c>
      <c r="F9" s="125">
        <v>0</v>
      </c>
      <c r="G9" s="125">
        <v>0</v>
      </c>
      <c r="H9" s="123">
        <v>0</v>
      </c>
      <c r="I9" s="124">
        <f>-SUM(I$4:I8,I10:I$21)</f>
        <v>-360000</v>
      </c>
      <c r="J9" s="125">
        <v>0</v>
      </c>
      <c r="K9" s="129">
        <v>0</v>
      </c>
      <c r="L9" s="125">
        <v>0</v>
      </c>
      <c r="M9" s="129">
        <v>0</v>
      </c>
      <c r="N9" s="129">
        <v>0</v>
      </c>
      <c r="O9" s="125">
        <v>0</v>
      </c>
      <c r="P9" s="125">
        <v>0</v>
      </c>
      <c r="Q9" s="135">
        <v>2200000</v>
      </c>
      <c r="R9" s="123">
        <v>0</v>
      </c>
      <c r="S9" s="123">
        <v>0</v>
      </c>
      <c r="T9" s="125">
        <v>0</v>
      </c>
      <c r="U9" s="130">
        <v>0</v>
      </c>
    </row>
    <row r="10" spans="1:21">
      <c r="A10" s="3"/>
      <c r="B10" s="3" t="s">
        <v>10</v>
      </c>
      <c r="C10" s="3">
        <v>7</v>
      </c>
      <c r="D10" s="110">
        <v>0</v>
      </c>
      <c r="E10" s="110">
        <v>0</v>
      </c>
      <c r="F10" s="111">
        <v>0</v>
      </c>
      <c r="G10" s="111">
        <v>0</v>
      </c>
      <c r="H10" s="110">
        <v>0</v>
      </c>
      <c r="I10" s="111">
        <v>0</v>
      </c>
      <c r="J10" s="124">
        <f>-SUM(J$4:J9,J11:J$21)</f>
        <v>-360000</v>
      </c>
      <c r="K10" s="114">
        <v>0</v>
      </c>
      <c r="L10" s="111">
        <v>0</v>
      </c>
      <c r="M10" s="114">
        <v>0</v>
      </c>
      <c r="N10" s="114">
        <v>0</v>
      </c>
      <c r="O10" s="111">
        <v>0</v>
      </c>
      <c r="P10" s="111">
        <v>0</v>
      </c>
      <c r="Q10" s="109">
        <v>355000</v>
      </c>
      <c r="R10" s="110">
        <v>0</v>
      </c>
      <c r="S10" s="110">
        <v>0</v>
      </c>
      <c r="T10" s="111">
        <v>0</v>
      </c>
      <c r="U10" s="115">
        <v>0</v>
      </c>
    </row>
    <row r="11" spans="1:21">
      <c r="A11" s="8" t="s">
        <v>7</v>
      </c>
      <c r="B11" s="8" t="s">
        <v>11</v>
      </c>
      <c r="C11" s="8">
        <v>8</v>
      </c>
      <c r="D11" s="136">
        <v>0</v>
      </c>
      <c r="E11" s="136">
        <v>0</v>
      </c>
      <c r="F11" s="137">
        <v>0</v>
      </c>
      <c r="G11" s="137">
        <v>0</v>
      </c>
      <c r="H11" s="136">
        <v>0</v>
      </c>
      <c r="I11" s="137">
        <v>0</v>
      </c>
      <c r="J11" s="137">
        <v>0</v>
      </c>
      <c r="K11" s="138">
        <f>-SUM(K$4:K10,K12:K$21)</f>
        <v>-2044</v>
      </c>
      <c r="L11" s="139">
        <v>3900</v>
      </c>
      <c r="M11" s="140">
        <v>0</v>
      </c>
      <c r="N11" s="140">
        <v>0</v>
      </c>
      <c r="O11" s="137">
        <v>0</v>
      </c>
      <c r="P11" s="137">
        <v>0</v>
      </c>
      <c r="Q11" s="141">
        <v>3900000</v>
      </c>
      <c r="R11" s="136">
        <v>0</v>
      </c>
      <c r="S11" s="136">
        <v>0</v>
      </c>
      <c r="T11" s="137">
        <v>0</v>
      </c>
      <c r="U11" s="142">
        <v>0</v>
      </c>
    </row>
    <row r="12" spans="1:21">
      <c r="A12" s="106" t="s">
        <v>3</v>
      </c>
      <c r="B12" s="106" t="s">
        <v>12</v>
      </c>
      <c r="C12" s="106">
        <v>9</v>
      </c>
      <c r="D12" s="136">
        <v>0</v>
      </c>
      <c r="E12" s="136">
        <v>0</v>
      </c>
      <c r="F12" s="137">
        <v>0</v>
      </c>
      <c r="G12" s="137">
        <v>0</v>
      </c>
      <c r="H12" s="136">
        <v>0</v>
      </c>
      <c r="I12" s="137">
        <v>0</v>
      </c>
      <c r="J12" s="137">
        <v>0</v>
      </c>
      <c r="K12" s="140">
        <v>0</v>
      </c>
      <c r="L12" s="124">
        <f>-SUM(L$4:L11,L13:L$21)</f>
        <v>-201003900</v>
      </c>
      <c r="M12" s="140">
        <v>0</v>
      </c>
      <c r="N12" s="140">
        <v>0</v>
      </c>
      <c r="O12" s="137">
        <v>0</v>
      </c>
      <c r="P12" s="137">
        <v>0</v>
      </c>
      <c r="Q12" s="137">
        <v>0</v>
      </c>
      <c r="R12" s="136">
        <v>0</v>
      </c>
      <c r="S12" s="136">
        <v>0</v>
      </c>
      <c r="T12" s="137">
        <v>0</v>
      </c>
      <c r="U12" s="142">
        <v>0</v>
      </c>
    </row>
    <row r="13" spans="1:21">
      <c r="A13" s="106" t="s">
        <v>13</v>
      </c>
      <c r="B13" s="106" t="s">
        <v>14</v>
      </c>
      <c r="C13" s="106">
        <v>10</v>
      </c>
      <c r="D13" s="136">
        <v>0</v>
      </c>
      <c r="E13" s="136">
        <v>0</v>
      </c>
      <c r="F13" s="137">
        <v>0</v>
      </c>
      <c r="G13" s="137">
        <v>0</v>
      </c>
      <c r="H13" s="136">
        <v>0</v>
      </c>
      <c r="I13" s="137">
        <v>0</v>
      </c>
      <c r="J13" s="137">
        <v>0</v>
      </c>
      <c r="K13" s="143">
        <v>0</v>
      </c>
      <c r="L13" s="144">
        <v>0</v>
      </c>
      <c r="M13" s="138">
        <f>-SUM(M$4:M12,M14:M$21)</f>
        <v>-77900000</v>
      </c>
      <c r="N13" s="143">
        <v>0</v>
      </c>
      <c r="O13" s="137">
        <v>0</v>
      </c>
      <c r="P13" s="137">
        <v>0</v>
      </c>
      <c r="Q13" s="141">
        <v>6700000</v>
      </c>
      <c r="R13" s="143">
        <v>0</v>
      </c>
      <c r="S13" s="145">
        <v>0</v>
      </c>
      <c r="T13" s="144">
        <v>0</v>
      </c>
      <c r="U13" s="146">
        <v>0</v>
      </c>
    </row>
    <row r="14" spans="1:21">
      <c r="A14" s="106"/>
      <c r="B14" s="106" t="s">
        <v>1</v>
      </c>
      <c r="C14" s="104">
        <v>11</v>
      </c>
      <c r="D14" s="147">
        <v>0</v>
      </c>
      <c r="E14" s="147">
        <v>0</v>
      </c>
      <c r="F14" s="148">
        <v>0</v>
      </c>
      <c r="G14" s="148">
        <v>0</v>
      </c>
      <c r="H14" s="147">
        <v>0</v>
      </c>
      <c r="I14" s="148">
        <v>0</v>
      </c>
      <c r="J14" s="148">
        <v>0</v>
      </c>
      <c r="K14" s="149">
        <v>0</v>
      </c>
      <c r="L14" s="148">
        <v>0</v>
      </c>
      <c r="M14" s="149">
        <v>0</v>
      </c>
      <c r="N14" s="150">
        <f>-SUM(N$4:N13,N15:N$21)</f>
        <v>0</v>
      </c>
      <c r="O14" s="111">
        <v>0</v>
      </c>
      <c r="P14" s="137">
        <v>0</v>
      </c>
      <c r="Q14" s="146">
        <v>0</v>
      </c>
      <c r="R14" s="149">
        <v>0</v>
      </c>
      <c r="S14" s="145">
        <v>0</v>
      </c>
      <c r="T14" s="144">
        <v>0</v>
      </c>
      <c r="U14" s="151">
        <v>0</v>
      </c>
    </row>
    <row r="15" spans="1:21">
      <c r="A15" s="101" t="s">
        <v>16</v>
      </c>
      <c r="B15" s="101" t="s">
        <v>6</v>
      </c>
      <c r="C15" s="101">
        <v>12</v>
      </c>
      <c r="D15" s="152">
        <v>0</v>
      </c>
      <c r="E15" s="152">
        <v>0</v>
      </c>
      <c r="F15" s="153">
        <v>0</v>
      </c>
      <c r="G15" s="153">
        <v>0</v>
      </c>
      <c r="H15" s="152">
        <v>0</v>
      </c>
      <c r="I15" s="153">
        <v>0</v>
      </c>
      <c r="J15" s="153">
        <v>0</v>
      </c>
      <c r="K15" s="154">
        <v>0</v>
      </c>
      <c r="L15" s="153">
        <v>0</v>
      </c>
      <c r="M15" s="154">
        <v>0</v>
      </c>
      <c r="N15" s="154">
        <v>0</v>
      </c>
      <c r="O15" s="124">
        <f>-SUM(O$4:O14,O16:O$21)</f>
        <v>0</v>
      </c>
      <c r="P15" s="125">
        <v>0</v>
      </c>
      <c r="Q15" s="153">
        <v>0</v>
      </c>
      <c r="R15" s="152">
        <v>0</v>
      </c>
      <c r="S15" s="123">
        <v>0</v>
      </c>
      <c r="T15" s="125">
        <v>0</v>
      </c>
      <c r="U15" s="130">
        <v>0</v>
      </c>
    </row>
    <row r="16" spans="1:21">
      <c r="A16" s="101"/>
      <c r="B16" s="101" t="s">
        <v>5</v>
      </c>
      <c r="C16" s="101">
        <v>13</v>
      </c>
      <c r="D16" s="123">
        <v>0</v>
      </c>
      <c r="E16" s="123">
        <v>0</v>
      </c>
      <c r="F16" s="125">
        <v>0</v>
      </c>
      <c r="G16" s="125">
        <v>0</v>
      </c>
      <c r="H16" s="123">
        <v>0</v>
      </c>
      <c r="I16" s="125">
        <v>0</v>
      </c>
      <c r="J16" s="125">
        <v>0</v>
      </c>
      <c r="K16" s="129">
        <v>0</v>
      </c>
      <c r="L16" s="125">
        <v>0</v>
      </c>
      <c r="M16" s="129">
        <v>0</v>
      </c>
      <c r="N16" s="129">
        <v>0</v>
      </c>
      <c r="O16" s="125">
        <v>0</v>
      </c>
      <c r="P16" s="124">
        <f>-SUM(P$4:P15,P17:P$21)</f>
        <v>0</v>
      </c>
      <c r="Q16" s="125">
        <v>0</v>
      </c>
      <c r="R16" s="123">
        <v>0</v>
      </c>
      <c r="S16" s="123">
        <v>0</v>
      </c>
      <c r="T16" s="125">
        <v>0</v>
      </c>
      <c r="U16" s="130">
        <v>0</v>
      </c>
    </row>
    <row r="17" spans="1:21">
      <c r="A17" s="101"/>
      <c r="B17" s="104" t="s">
        <v>4</v>
      </c>
      <c r="C17" s="104">
        <v>14</v>
      </c>
      <c r="D17" s="110">
        <v>0</v>
      </c>
      <c r="E17" s="110">
        <v>0</v>
      </c>
      <c r="F17" s="111">
        <v>0</v>
      </c>
      <c r="G17" s="111">
        <v>0</v>
      </c>
      <c r="H17" s="110">
        <v>0</v>
      </c>
      <c r="I17" s="111">
        <v>0</v>
      </c>
      <c r="J17" s="111">
        <v>0</v>
      </c>
      <c r="K17" s="114">
        <v>0</v>
      </c>
      <c r="L17" s="111">
        <v>0</v>
      </c>
      <c r="M17" s="114">
        <v>0</v>
      </c>
      <c r="N17" s="114">
        <v>0</v>
      </c>
      <c r="O17" s="111">
        <v>0</v>
      </c>
      <c r="P17" s="111">
        <v>0</v>
      </c>
      <c r="Q17" s="124">
        <f>-SUM(Q$4:Q16,Q18:Q$21)</f>
        <v>-13305000</v>
      </c>
      <c r="R17" s="110">
        <v>0</v>
      </c>
      <c r="S17" s="110">
        <v>0</v>
      </c>
      <c r="T17" s="111">
        <v>0</v>
      </c>
      <c r="U17" s="133">
        <v>170000</v>
      </c>
    </row>
    <row r="18" spans="1:21">
      <c r="A18" s="106"/>
      <c r="B18" s="104" t="s">
        <v>12</v>
      </c>
      <c r="C18" s="104">
        <v>15</v>
      </c>
      <c r="D18" s="140">
        <v>0</v>
      </c>
      <c r="E18" s="136">
        <v>0</v>
      </c>
      <c r="F18" s="137">
        <v>0</v>
      </c>
      <c r="G18" s="137">
        <v>0</v>
      </c>
      <c r="H18" s="136">
        <v>0</v>
      </c>
      <c r="I18" s="137">
        <v>0</v>
      </c>
      <c r="J18" s="137">
        <v>0</v>
      </c>
      <c r="K18" s="140">
        <v>0</v>
      </c>
      <c r="L18" s="137">
        <v>0</v>
      </c>
      <c r="M18" s="140">
        <v>0</v>
      </c>
      <c r="N18" s="140">
        <v>0</v>
      </c>
      <c r="O18" s="137">
        <v>0</v>
      </c>
      <c r="P18" s="137">
        <v>0</v>
      </c>
      <c r="Q18" s="137">
        <v>0</v>
      </c>
      <c r="R18" s="138">
        <f>-SUM(R$4:R17,R19:R$21)</f>
        <v>0</v>
      </c>
      <c r="S18" s="136">
        <v>0</v>
      </c>
      <c r="T18" s="137">
        <v>0</v>
      </c>
      <c r="U18" s="142">
        <v>0</v>
      </c>
    </row>
    <row r="19" spans="1:21">
      <c r="A19" s="101" t="s">
        <v>15</v>
      </c>
      <c r="B19" s="101" t="s">
        <v>8</v>
      </c>
      <c r="C19" s="101">
        <v>16</v>
      </c>
      <c r="D19" s="129">
        <v>0</v>
      </c>
      <c r="E19" s="152">
        <v>0</v>
      </c>
      <c r="F19" s="153">
        <v>0</v>
      </c>
      <c r="G19" s="153">
        <v>0</v>
      </c>
      <c r="H19" s="152">
        <v>0</v>
      </c>
      <c r="I19" s="153">
        <v>0</v>
      </c>
      <c r="J19" s="153">
        <v>0</v>
      </c>
      <c r="K19" s="129">
        <v>0</v>
      </c>
      <c r="L19" s="120">
        <v>0</v>
      </c>
      <c r="M19" s="122">
        <v>0</v>
      </c>
      <c r="N19" s="122">
        <v>0</v>
      </c>
      <c r="O19" s="125">
        <v>0</v>
      </c>
      <c r="P19" s="125">
        <v>0</v>
      </c>
      <c r="Q19" s="125">
        <v>0</v>
      </c>
      <c r="R19" s="120">
        <v>0</v>
      </c>
      <c r="S19" s="124">
        <f>-SUM(S$4:S18,S20:S$21)</f>
        <v>0</v>
      </c>
      <c r="T19" s="125">
        <v>0</v>
      </c>
      <c r="U19" s="130">
        <v>0</v>
      </c>
    </row>
    <row r="20" spans="1:21">
      <c r="A20" s="101"/>
      <c r="B20" s="101" t="s">
        <v>9</v>
      </c>
      <c r="C20" s="101">
        <v>17</v>
      </c>
      <c r="D20" s="123">
        <v>0</v>
      </c>
      <c r="E20" s="123">
        <v>0</v>
      </c>
      <c r="F20" s="125">
        <v>0</v>
      </c>
      <c r="G20" s="125">
        <v>0</v>
      </c>
      <c r="H20" s="123">
        <v>0</v>
      </c>
      <c r="I20" s="125">
        <v>0</v>
      </c>
      <c r="J20" s="125">
        <v>0</v>
      </c>
      <c r="K20" s="129">
        <v>0</v>
      </c>
      <c r="L20" s="129">
        <v>0</v>
      </c>
      <c r="M20" s="130">
        <v>0</v>
      </c>
      <c r="N20" s="130">
        <v>0</v>
      </c>
      <c r="O20" s="125">
        <v>0</v>
      </c>
      <c r="P20" s="125">
        <v>0</v>
      </c>
      <c r="Q20" s="125">
        <v>0</v>
      </c>
      <c r="R20" s="123">
        <v>0</v>
      </c>
      <c r="S20" s="123">
        <v>0</v>
      </c>
      <c r="T20" s="124">
        <f>-SUM(T$4:T19,T21:T$21)</f>
        <v>0</v>
      </c>
      <c r="U20" s="130">
        <v>0</v>
      </c>
    </row>
    <row r="21" spans="1:21">
      <c r="A21" s="104"/>
      <c r="B21" s="104" t="s">
        <v>10</v>
      </c>
      <c r="C21" s="104">
        <v>18</v>
      </c>
      <c r="D21" s="123">
        <v>0</v>
      </c>
      <c r="E21" s="110">
        <v>0</v>
      </c>
      <c r="F21" s="111">
        <v>0</v>
      </c>
      <c r="G21" s="111">
        <v>0</v>
      </c>
      <c r="H21" s="110">
        <v>0</v>
      </c>
      <c r="I21" s="111">
        <v>0</v>
      </c>
      <c r="J21" s="111">
        <v>0</v>
      </c>
      <c r="K21" s="129">
        <v>0</v>
      </c>
      <c r="L21" s="114">
        <v>0</v>
      </c>
      <c r="M21" s="115">
        <v>0</v>
      </c>
      <c r="N21" s="115">
        <v>0</v>
      </c>
      <c r="O21" s="125">
        <v>0</v>
      </c>
      <c r="P21" s="125">
        <v>0</v>
      </c>
      <c r="Q21" s="125">
        <v>0</v>
      </c>
      <c r="R21" s="123">
        <v>0</v>
      </c>
      <c r="S21" s="123">
        <v>0</v>
      </c>
      <c r="T21" s="125">
        <v>0</v>
      </c>
      <c r="U21" s="155">
        <f>-SUM(U$4:U20)</f>
        <v>-58170000</v>
      </c>
    </row>
    <row r="22" spans="1:21">
      <c r="C22" t="s">
        <v>18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</row>
  </sheetData>
  <phoneticPr fontId="2"/>
  <pageMargins left="0.7" right="0.7" top="0.75" bottom="0.75" header="0.3" footer="0.3"/>
  <pageSetup paperSize="9" orientation="portrait" horizontalDpi="0" verticalDpi="0"/>
  <ignoredErrors>
    <ignoredError sqref="E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10E2-5186-0E40-8A6E-B89201A1E52F}">
  <sheetPr>
    <pageSetUpPr fitToPage="1"/>
  </sheetPr>
  <dimension ref="A1:V29"/>
  <sheetViews>
    <sheetView tabSelected="1" zoomScale="91" workbookViewId="0">
      <selection activeCell="E4" sqref="E4"/>
    </sheetView>
  </sheetViews>
  <sheetFormatPr baseColWidth="10" defaultColWidth="4.85546875" defaultRowHeight="20"/>
  <cols>
    <col min="4" max="4" width="9.5703125" customWidth="1"/>
    <col min="5" max="5" width="9.7109375" customWidth="1"/>
    <col min="6" max="6" width="12.5703125" customWidth="1"/>
    <col min="7" max="22" width="9.7109375" customWidth="1"/>
  </cols>
  <sheetData>
    <row r="1" spans="1:22">
      <c r="E1" s="6" t="s">
        <v>0</v>
      </c>
      <c r="F1" s="7" t="s">
        <v>2</v>
      </c>
      <c r="I1" s="6" t="s">
        <v>7</v>
      </c>
      <c r="L1" s="9" t="s">
        <v>7</v>
      </c>
      <c r="M1" t="s">
        <v>3</v>
      </c>
      <c r="N1" s="9" t="s">
        <v>13</v>
      </c>
      <c r="O1" s="9"/>
      <c r="P1" t="s">
        <v>16</v>
      </c>
      <c r="S1" s="6"/>
      <c r="T1" s="6" t="s">
        <v>15</v>
      </c>
      <c r="U1" t="s">
        <v>17</v>
      </c>
      <c r="V1" s="10"/>
    </row>
    <row r="2" spans="1:22">
      <c r="A2" s="3"/>
      <c r="B2" s="3"/>
      <c r="C2" s="3"/>
      <c r="D2" s="3" t="s">
        <v>187</v>
      </c>
      <c r="E2" s="14" t="s">
        <v>20</v>
      </c>
      <c r="F2" s="15" t="s">
        <v>38</v>
      </c>
      <c r="G2" s="3" t="s">
        <v>39</v>
      </c>
      <c r="H2" s="3" t="s">
        <v>40</v>
      </c>
      <c r="I2" s="14" t="s">
        <v>24</v>
      </c>
      <c r="J2" s="3" t="s">
        <v>25</v>
      </c>
      <c r="K2" s="3" t="s">
        <v>26</v>
      </c>
      <c r="L2" s="16" t="s">
        <v>27</v>
      </c>
      <c r="M2" s="3" t="s">
        <v>28</v>
      </c>
      <c r="N2" s="16" t="s">
        <v>29</v>
      </c>
      <c r="O2" s="22" t="s">
        <v>30</v>
      </c>
      <c r="P2" s="17" t="s">
        <v>31</v>
      </c>
      <c r="Q2" s="18" t="s">
        <v>32</v>
      </c>
      <c r="R2" s="3" t="s">
        <v>33</v>
      </c>
      <c r="S2" s="19" t="s">
        <v>34</v>
      </c>
      <c r="T2" s="19" t="s">
        <v>35</v>
      </c>
      <c r="U2" s="17" t="s">
        <v>36</v>
      </c>
      <c r="V2" s="20" t="s">
        <v>37</v>
      </c>
    </row>
    <row r="3" spans="1:22">
      <c r="A3" s="3"/>
      <c r="B3" s="3"/>
      <c r="C3" s="3"/>
      <c r="D3" s="3">
        <v>0</v>
      </c>
      <c r="E3" s="14">
        <v>1</v>
      </c>
      <c r="F3" s="15">
        <v>2</v>
      </c>
      <c r="G3" s="3">
        <v>3</v>
      </c>
      <c r="H3" s="3">
        <v>4</v>
      </c>
      <c r="I3" s="14">
        <v>5</v>
      </c>
      <c r="J3" s="3">
        <v>6</v>
      </c>
      <c r="K3" s="14">
        <v>7</v>
      </c>
      <c r="L3" s="3">
        <v>8</v>
      </c>
      <c r="M3" s="14">
        <v>9</v>
      </c>
      <c r="N3" s="3">
        <v>10</v>
      </c>
      <c r="O3" s="14">
        <v>11</v>
      </c>
      <c r="P3" s="3">
        <v>12</v>
      </c>
      <c r="Q3" s="14">
        <v>13</v>
      </c>
      <c r="R3" s="3">
        <v>14</v>
      </c>
      <c r="S3" s="14">
        <v>15</v>
      </c>
      <c r="T3" s="3">
        <v>16</v>
      </c>
      <c r="U3" s="14">
        <v>17</v>
      </c>
      <c r="V3" s="3">
        <v>18</v>
      </c>
    </row>
    <row r="4" spans="1:22">
      <c r="A4" s="3"/>
      <c r="B4" s="3" t="s">
        <v>187</v>
      </c>
      <c r="C4" s="3">
        <v>0</v>
      </c>
      <c r="D4" s="23">
        <v>0</v>
      </c>
      <c r="E4" s="158">
        <v>0</v>
      </c>
      <c r="F4" s="158">
        <v>0</v>
      </c>
      <c r="G4" s="158">
        <v>0</v>
      </c>
      <c r="H4" s="158">
        <v>0</v>
      </c>
      <c r="I4" s="158">
        <v>0</v>
      </c>
      <c r="J4" s="158">
        <v>0</v>
      </c>
      <c r="K4" s="158">
        <v>0</v>
      </c>
      <c r="L4" s="158">
        <v>0</v>
      </c>
      <c r="M4" s="158">
        <v>0</v>
      </c>
      <c r="N4" s="158">
        <v>0</v>
      </c>
      <c r="O4" s="158">
        <v>0</v>
      </c>
      <c r="P4" s="158">
        <v>0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</row>
    <row r="5" spans="1:22">
      <c r="A5" s="3" t="s">
        <v>0</v>
      </c>
      <c r="B5" s="3" t="s">
        <v>1</v>
      </c>
      <c r="C5" s="3">
        <v>1</v>
      </c>
      <c r="D5" s="32">
        <v>0</v>
      </c>
      <c r="E5" s="33">
        <f>-(SUM(E4)+SUM(E6:E21))</f>
        <v>0</v>
      </c>
      <c r="F5" s="24">
        <v>0</v>
      </c>
      <c r="G5" s="25">
        <v>47000</v>
      </c>
      <c r="H5" s="25">
        <v>0</v>
      </c>
      <c r="I5" s="26">
        <v>0</v>
      </c>
      <c r="J5" s="27">
        <v>0</v>
      </c>
      <c r="K5" s="27">
        <v>0</v>
      </c>
      <c r="L5" s="28">
        <v>44</v>
      </c>
      <c r="M5" s="29">
        <v>200000000</v>
      </c>
      <c r="N5" s="30">
        <v>0</v>
      </c>
      <c r="O5" s="30">
        <v>0</v>
      </c>
      <c r="P5" s="27">
        <v>0</v>
      </c>
      <c r="Q5" s="27">
        <v>0</v>
      </c>
      <c r="R5" s="27">
        <v>0</v>
      </c>
      <c r="S5" s="26">
        <v>0</v>
      </c>
      <c r="T5" s="26">
        <v>0</v>
      </c>
      <c r="U5" s="27">
        <v>0</v>
      </c>
      <c r="V5" s="31">
        <v>0</v>
      </c>
    </row>
    <row r="6" spans="1:22">
      <c r="A6" s="4" t="s">
        <v>2</v>
      </c>
      <c r="B6" s="4" t="s">
        <v>6</v>
      </c>
      <c r="C6" s="3">
        <v>2</v>
      </c>
      <c r="D6" s="32">
        <f t="shared" ref="D6:D22" si="0">-E5</f>
        <v>0</v>
      </c>
      <c r="E6" s="32">
        <f>-F5</f>
        <v>0</v>
      </c>
      <c r="F6" s="33">
        <f>-(SUM(F4:F5)+SUM(F7:F22))</f>
        <v>0</v>
      </c>
      <c r="G6" s="34">
        <v>0</v>
      </c>
      <c r="H6" s="34">
        <v>0</v>
      </c>
      <c r="I6" s="35">
        <v>200000</v>
      </c>
      <c r="J6" s="34">
        <v>0</v>
      </c>
      <c r="K6" s="34">
        <v>0</v>
      </c>
      <c r="L6" s="36">
        <v>0</v>
      </c>
      <c r="M6" s="34">
        <v>0</v>
      </c>
      <c r="N6" s="37">
        <v>8900000</v>
      </c>
      <c r="O6" s="36">
        <v>0</v>
      </c>
      <c r="P6" s="34">
        <v>0</v>
      </c>
      <c r="Q6" s="34">
        <v>0</v>
      </c>
      <c r="R6" s="34">
        <v>0</v>
      </c>
      <c r="S6" s="32">
        <v>0</v>
      </c>
      <c r="T6" s="32">
        <v>0</v>
      </c>
      <c r="U6" s="34">
        <v>0</v>
      </c>
      <c r="V6" s="38">
        <v>0</v>
      </c>
    </row>
    <row r="7" spans="1:22">
      <c r="B7" t="s">
        <v>5</v>
      </c>
      <c r="C7" s="3">
        <v>3</v>
      </c>
      <c r="D7" s="32">
        <f t="shared" si="0"/>
        <v>0</v>
      </c>
      <c r="E7" s="39">
        <v>0</v>
      </c>
      <c r="F7" s="39">
        <v>0</v>
      </c>
      <c r="G7" s="33">
        <f>-(SUM(G4:G6)+SUM(G8:G22))</f>
        <v>-47000</v>
      </c>
      <c r="H7" s="41">
        <v>0</v>
      </c>
      <c r="I7" s="42">
        <v>150000</v>
      </c>
      <c r="J7" s="43">
        <v>270000</v>
      </c>
      <c r="K7" s="41">
        <v>0</v>
      </c>
      <c r="L7" s="44">
        <v>1340</v>
      </c>
      <c r="M7" s="41">
        <v>0</v>
      </c>
      <c r="N7" s="44">
        <v>27000000</v>
      </c>
      <c r="O7" s="45">
        <v>0</v>
      </c>
      <c r="P7" s="41">
        <v>0</v>
      </c>
      <c r="Q7" s="41">
        <v>0</v>
      </c>
      <c r="R7" s="41">
        <v>0</v>
      </c>
      <c r="S7" s="39">
        <v>0</v>
      </c>
      <c r="T7" s="39">
        <v>0</v>
      </c>
      <c r="U7" s="41">
        <v>0</v>
      </c>
      <c r="V7" s="46">
        <v>0</v>
      </c>
    </row>
    <row r="8" spans="1:22">
      <c r="A8" s="3"/>
      <c r="B8" s="3" t="s">
        <v>4</v>
      </c>
      <c r="C8" s="3">
        <v>4</v>
      </c>
      <c r="D8" s="32">
        <f t="shared" si="0"/>
        <v>0</v>
      </c>
      <c r="E8" s="26">
        <v>0</v>
      </c>
      <c r="F8" s="26">
        <v>0</v>
      </c>
      <c r="G8" s="27">
        <v>0</v>
      </c>
      <c r="H8" s="33">
        <f>-(SUM(H4:H7)+SUM(H9:H22))</f>
        <v>0</v>
      </c>
      <c r="I8" s="47">
        <v>10000</v>
      </c>
      <c r="J8" s="29">
        <v>90000</v>
      </c>
      <c r="K8" s="29">
        <v>360000</v>
      </c>
      <c r="L8" s="48">
        <v>660</v>
      </c>
      <c r="M8" s="27">
        <v>0</v>
      </c>
      <c r="N8" s="48">
        <v>42000000</v>
      </c>
      <c r="O8" s="30">
        <v>0</v>
      </c>
      <c r="P8" s="27">
        <v>0</v>
      </c>
      <c r="Q8" s="27">
        <v>0</v>
      </c>
      <c r="R8" s="27">
        <v>0</v>
      </c>
      <c r="S8" s="26">
        <v>0</v>
      </c>
      <c r="T8" s="26">
        <v>0</v>
      </c>
      <c r="U8" s="27">
        <v>0</v>
      </c>
      <c r="V8" s="49">
        <v>58000000</v>
      </c>
    </row>
    <row r="9" spans="1:22">
      <c r="A9" s="5" t="s">
        <v>7</v>
      </c>
      <c r="B9" s="5" t="s">
        <v>8</v>
      </c>
      <c r="C9" s="3">
        <v>5</v>
      </c>
      <c r="D9" s="32">
        <f t="shared" si="0"/>
        <v>0</v>
      </c>
      <c r="E9" s="32">
        <v>0</v>
      </c>
      <c r="F9" s="32">
        <v>0</v>
      </c>
      <c r="G9" s="34">
        <v>0</v>
      </c>
      <c r="H9" s="34">
        <v>0</v>
      </c>
      <c r="I9" s="40">
        <f>-SUM(I$4:I8,I10:I$22)</f>
        <v>-360000</v>
      </c>
      <c r="J9" s="34">
        <v>0</v>
      </c>
      <c r="K9" s="34">
        <v>0</v>
      </c>
      <c r="L9" s="36">
        <v>0</v>
      </c>
      <c r="M9" s="34">
        <v>0</v>
      </c>
      <c r="N9" s="36">
        <v>0</v>
      </c>
      <c r="O9" s="36">
        <v>0</v>
      </c>
      <c r="P9" s="34">
        <v>0</v>
      </c>
      <c r="Q9" s="34">
        <v>0</v>
      </c>
      <c r="R9" s="50">
        <v>150000</v>
      </c>
      <c r="S9" s="32">
        <v>0</v>
      </c>
      <c r="T9" s="32">
        <v>0</v>
      </c>
      <c r="U9" s="34">
        <v>0</v>
      </c>
      <c r="V9" s="38">
        <v>0</v>
      </c>
    </row>
    <row r="10" spans="1:22">
      <c r="B10" t="s">
        <v>9</v>
      </c>
      <c r="C10" s="3">
        <v>6</v>
      </c>
      <c r="D10" s="32">
        <f t="shared" si="0"/>
        <v>0</v>
      </c>
      <c r="E10" s="39">
        <v>0</v>
      </c>
      <c r="F10" s="39">
        <v>0</v>
      </c>
      <c r="G10" s="41">
        <v>0</v>
      </c>
      <c r="H10" s="41">
        <v>0</v>
      </c>
      <c r="I10" s="39">
        <v>0</v>
      </c>
      <c r="J10" s="40">
        <f>-SUM(J$4:J9,J11:J$22)</f>
        <v>-360000</v>
      </c>
      <c r="K10" s="41">
        <v>0</v>
      </c>
      <c r="L10" s="45">
        <v>0</v>
      </c>
      <c r="M10" s="41">
        <v>0</v>
      </c>
      <c r="N10" s="45">
        <v>0</v>
      </c>
      <c r="O10" s="45">
        <v>0</v>
      </c>
      <c r="P10" s="41">
        <v>0</v>
      </c>
      <c r="Q10" s="41">
        <v>0</v>
      </c>
      <c r="R10" s="51">
        <v>2200000</v>
      </c>
      <c r="S10" s="39">
        <v>0</v>
      </c>
      <c r="T10" s="39">
        <v>0</v>
      </c>
      <c r="U10" s="41">
        <v>0</v>
      </c>
      <c r="V10" s="46">
        <v>0</v>
      </c>
    </row>
    <row r="11" spans="1:22">
      <c r="A11" s="3"/>
      <c r="B11" s="3" t="s">
        <v>10</v>
      </c>
      <c r="C11" s="3">
        <v>7</v>
      </c>
      <c r="D11" s="32">
        <f t="shared" si="0"/>
        <v>0</v>
      </c>
      <c r="E11" s="26">
        <v>0</v>
      </c>
      <c r="F11" s="26">
        <v>0</v>
      </c>
      <c r="G11" s="27">
        <v>0</v>
      </c>
      <c r="H11" s="27">
        <v>0</v>
      </c>
      <c r="I11" s="26">
        <v>0</v>
      </c>
      <c r="J11" s="27">
        <v>0</v>
      </c>
      <c r="K11" s="40">
        <f>-SUM(K$4:K10,K12:K$22)</f>
        <v>-360000</v>
      </c>
      <c r="L11" s="30">
        <v>0</v>
      </c>
      <c r="M11" s="27">
        <v>0</v>
      </c>
      <c r="N11" s="30">
        <v>0</v>
      </c>
      <c r="O11" s="30">
        <v>0</v>
      </c>
      <c r="P11" s="27">
        <v>0</v>
      </c>
      <c r="Q11" s="27">
        <v>0</v>
      </c>
      <c r="R11" s="25">
        <v>13000000</v>
      </c>
      <c r="S11" s="26">
        <v>0</v>
      </c>
      <c r="T11" s="26">
        <v>0</v>
      </c>
      <c r="U11" s="27">
        <v>0</v>
      </c>
      <c r="V11" s="31">
        <v>0</v>
      </c>
    </row>
    <row r="12" spans="1:22">
      <c r="A12" s="8" t="s">
        <v>7</v>
      </c>
      <c r="B12" s="8" t="s">
        <v>11</v>
      </c>
      <c r="C12" s="3">
        <v>8</v>
      </c>
      <c r="D12" s="32">
        <f t="shared" si="0"/>
        <v>0</v>
      </c>
      <c r="E12" s="52">
        <v>0</v>
      </c>
      <c r="F12" s="52">
        <v>0</v>
      </c>
      <c r="G12" s="53">
        <v>0</v>
      </c>
      <c r="H12" s="53">
        <v>0</v>
      </c>
      <c r="I12" s="52">
        <v>0</v>
      </c>
      <c r="J12" s="53">
        <v>0</v>
      </c>
      <c r="K12" s="53">
        <v>0</v>
      </c>
      <c r="L12" s="54">
        <f>-SUM(L$4:L11,L13:L$22)</f>
        <v>-2044</v>
      </c>
      <c r="M12" s="55">
        <v>3900</v>
      </c>
      <c r="N12" s="56">
        <v>0</v>
      </c>
      <c r="O12" s="56">
        <v>0</v>
      </c>
      <c r="P12" s="53">
        <v>0</v>
      </c>
      <c r="Q12" s="53">
        <v>0</v>
      </c>
      <c r="R12" s="57">
        <v>3900000</v>
      </c>
      <c r="S12" s="52">
        <v>0</v>
      </c>
      <c r="T12" s="52">
        <v>0</v>
      </c>
      <c r="U12" s="53">
        <v>0</v>
      </c>
      <c r="V12" s="58">
        <v>0</v>
      </c>
    </row>
    <row r="13" spans="1:22">
      <c r="A13" s="11" t="s">
        <v>3</v>
      </c>
      <c r="B13" s="12" t="s">
        <v>12</v>
      </c>
      <c r="C13" s="3">
        <v>9</v>
      </c>
      <c r="D13" s="32">
        <f t="shared" si="0"/>
        <v>0</v>
      </c>
      <c r="E13" s="52">
        <v>0</v>
      </c>
      <c r="F13" s="52">
        <v>0</v>
      </c>
      <c r="G13" s="53">
        <v>0</v>
      </c>
      <c r="H13" s="53">
        <v>0</v>
      </c>
      <c r="I13" s="52">
        <v>0</v>
      </c>
      <c r="J13" s="53">
        <v>0</v>
      </c>
      <c r="K13" s="53">
        <v>0</v>
      </c>
      <c r="L13" s="56">
        <v>0</v>
      </c>
      <c r="M13" s="40">
        <f>-SUM(M$4:M12,M14:M$22)</f>
        <v>-200003900</v>
      </c>
      <c r="N13" s="56">
        <v>0</v>
      </c>
      <c r="O13" s="56">
        <v>0</v>
      </c>
      <c r="P13" s="53">
        <v>0</v>
      </c>
      <c r="Q13" s="53">
        <v>0</v>
      </c>
      <c r="R13" s="53">
        <v>0</v>
      </c>
      <c r="S13" s="52">
        <v>0</v>
      </c>
      <c r="T13" s="52">
        <v>0</v>
      </c>
      <c r="U13" s="53">
        <v>0</v>
      </c>
      <c r="V13" s="58">
        <v>0</v>
      </c>
    </row>
    <row r="14" spans="1:22">
      <c r="A14" s="8" t="s">
        <v>13</v>
      </c>
      <c r="B14" s="8" t="s">
        <v>14</v>
      </c>
      <c r="C14" s="3">
        <v>10</v>
      </c>
      <c r="D14" s="32">
        <f t="shared" si="0"/>
        <v>0</v>
      </c>
      <c r="E14" s="52">
        <v>0</v>
      </c>
      <c r="F14" s="52">
        <v>0</v>
      </c>
      <c r="G14" s="53">
        <v>0</v>
      </c>
      <c r="H14" s="53">
        <v>0</v>
      </c>
      <c r="I14" s="52">
        <v>0</v>
      </c>
      <c r="J14" s="53">
        <v>0</v>
      </c>
      <c r="K14" s="53">
        <v>0</v>
      </c>
      <c r="L14" s="59">
        <v>0</v>
      </c>
      <c r="M14" s="60">
        <v>0</v>
      </c>
      <c r="N14" s="54">
        <f>-SUM(N$4:N13,N15:N$22)</f>
        <v>-77900000</v>
      </c>
      <c r="O14" s="59">
        <v>0</v>
      </c>
      <c r="P14" s="53">
        <v>0</v>
      </c>
      <c r="Q14" s="53">
        <v>0</v>
      </c>
      <c r="R14" s="57">
        <v>6700000</v>
      </c>
      <c r="S14" s="59">
        <v>0</v>
      </c>
      <c r="T14" s="61">
        <v>0</v>
      </c>
      <c r="U14" s="60">
        <v>0</v>
      </c>
      <c r="V14" s="62">
        <v>0</v>
      </c>
    </row>
    <row r="15" spans="1:22">
      <c r="A15" s="8"/>
      <c r="B15" s="13" t="s">
        <v>1</v>
      </c>
      <c r="C15" s="3">
        <v>11</v>
      </c>
      <c r="D15" s="32">
        <f t="shared" si="0"/>
        <v>0</v>
      </c>
      <c r="E15" s="63">
        <v>0</v>
      </c>
      <c r="F15" s="63">
        <v>0</v>
      </c>
      <c r="G15" s="64">
        <v>0</v>
      </c>
      <c r="H15" s="64">
        <v>0</v>
      </c>
      <c r="I15" s="63">
        <v>0</v>
      </c>
      <c r="J15" s="64">
        <v>0</v>
      </c>
      <c r="K15" s="64">
        <v>0</v>
      </c>
      <c r="L15" s="65">
        <v>0</v>
      </c>
      <c r="M15" s="64">
        <v>0</v>
      </c>
      <c r="N15" s="65">
        <v>0</v>
      </c>
      <c r="O15" s="66">
        <f>-SUM(O$4:O14,O16:O$22)</f>
        <v>0</v>
      </c>
      <c r="P15" s="27">
        <v>0</v>
      </c>
      <c r="Q15" s="53">
        <v>0</v>
      </c>
      <c r="R15" s="62">
        <v>0</v>
      </c>
      <c r="S15" s="65">
        <v>0</v>
      </c>
      <c r="T15" s="61">
        <v>0</v>
      </c>
      <c r="U15" s="60">
        <v>0</v>
      </c>
      <c r="V15" s="67">
        <v>0</v>
      </c>
    </row>
    <row r="16" spans="1:22">
      <c r="A16" t="s">
        <v>16</v>
      </c>
      <c r="B16" s="1" t="s">
        <v>6</v>
      </c>
      <c r="C16" s="3">
        <v>12</v>
      </c>
      <c r="D16" s="32">
        <f t="shared" si="0"/>
        <v>0</v>
      </c>
      <c r="E16" s="68">
        <v>0</v>
      </c>
      <c r="F16" s="68">
        <v>0</v>
      </c>
      <c r="G16" s="69">
        <v>0</v>
      </c>
      <c r="H16" s="69">
        <v>0</v>
      </c>
      <c r="I16" s="68">
        <v>0</v>
      </c>
      <c r="J16" s="69">
        <v>0</v>
      </c>
      <c r="K16" s="69">
        <v>0</v>
      </c>
      <c r="L16" s="70">
        <v>0</v>
      </c>
      <c r="M16" s="69">
        <v>0</v>
      </c>
      <c r="N16" s="70">
        <v>0</v>
      </c>
      <c r="O16" s="70">
        <v>0</v>
      </c>
      <c r="P16" s="40">
        <f>-SUM(P$4:P15,P17:P$22)</f>
        <v>0</v>
      </c>
      <c r="Q16" s="41">
        <v>0</v>
      </c>
      <c r="R16" s="69">
        <v>0</v>
      </c>
      <c r="S16" s="68">
        <v>0</v>
      </c>
      <c r="T16" s="39">
        <v>0</v>
      </c>
      <c r="U16" s="41">
        <v>0</v>
      </c>
      <c r="V16" s="46">
        <v>0</v>
      </c>
    </row>
    <row r="17" spans="1:22">
      <c r="B17" s="2" t="s">
        <v>5</v>
      </c>
      <c r="C17" s="3">
        <v>13</v>
      </c>
      <c r="D17" s="32">
        <f t="shared" si="0"/>
        <v>0</v>
      </c>
      <c r="E17" s="39">
        <v>0</v>
      </c>
      <c r="F17" s="39">
        <v>0</v>
      </c>
      <c r="G17" s="41">
        <v>0</v>
      </c>
      <c r="H17" s="41">
        <v>0</v>
      </c>
      <c r="I17" s="39">
        <v>0</v>
      </c>
      <c r="J17" s="41">
        <v>0</v>
      </c>
      <c r="K17" s="41">
        <v>0</v>
      </c>
      <c r="L17" s="45">
        <v>0</v>
      </c>
      <c r="M17" s="41">
        <v>0</v>
      </c>
      <c r="N17" s="45">
        <v>0</v>
      </c>
      <c r="O17" s="45">
        <v>0</v>
      </c>
      <c r="P17" s="41">
        <v>0</v>
      </c>
      <c r="Q17" s="40">
        <f>-SUM(Q$4:Q16,Q18:Q$22)</f>
        <v>0</v>
      </c>
      <c r="R17" s="41">
        <v>0</v>
      </c>
      <c r="S17" s="39">
        <v>0</v>
      </c>
      <c r="T17" s="39">
        <v>0</v>
      </c>
      <c r="U17" s="41">
        <v>0</v>
      </c>
      <c r="V17" s="46">
        <v>0</v>
      </c>
    </row>
    <row r="18" spans="1:22">
      <c r="B18" s="3" t="s">
        <v>4</v>
      </c>
      <c r="C18" s="3">
        <v>14</v>
      </c>
      <c r="D18" s="32">
        <f t="shared" si="0"/>
        <v>0</v>
      </c>
      <c r="E18" s="26">
        <v>0</v>
      </c>
      <c r="F18" s="26">
        <v>0</v>
      </c>
      <c r="G18" s="27">
        <v>0</v>
      </c>
      <c r="H18" s="27">
        <v>0</v>
      </c>
      <c r="I18" s="26">
        <v>0</v>
      </c>
      <c r="J18" s="27">
        <v>0</v>
      </c>
      <c r="K18" s="27">
        <v>0</v>
      </c>
      <c r="L18" s="30">
        <v>0</v>
      </c>
      <c r="M18" s="27">
        <v>0</v>
      </c>
      <c r="N18" s="30">
        <v>0</v>
      </c>
      <c r="O18" s="30">
        <v>0</v>
      </c>
      <c r="P18" s="27">
        <v>0</v>
      </c>
      <c r="Q18" s="27">
        <v>0</v>
      </c>
      <c r="R18" s="40">
        <f>-SUM(R$4:R17,R19:R$22)</f>
        <v>-25950000</v>
      </c>
      <c r="S18" s="26">
        <v>0</v>
      </c>
      <c r="T18" s="26">
        <v>0</v>
      </c>
      <c r="U18" s="27">
        <v>0</v>
      </c>
      <c r="V18" s="49">
        <v>170000</v>
      </c>
    </row>
    <row r="19" spans="1:22">
      <c r="A19" s="8"/>
      <c r="B19" s="17" t="s">
        <v>12</v>
      </c>
      <c r="C19" s="3">
        <v>15</v>
      </c>
      <c r="D19" s="32">
        <f t="shared" si="0"/>
        <v>0</v>
      </c>
      <c r="E19" s="56">
        <v>0</v>
      </c>
      <c r="F19" s="52">
        <v>0</v>
      </c>
      <c r="G19" s="53">
        <v>0</v>
      </c>
      <c r="H19" s="53">
        <v>0</v>
      </c>
      <c r="I19" s="52">
        <v>0</v>
      </c>
      <c r="J19" s="53">
        <v>0</v>
      </c>
      <c r="K19" s="53">
        <v>0</v>
      </c>
      <c r="L19" s="56">
        <v>0</v>
      </c>
      <c r="M19" s="53">
        <v>0</v>
      </c>
      <c r="N19" s="56">
        <v>0</v>
      </c>
      <c r="O19" s="56">
        <v>0</v>
      </c>
      <c r="P19" s="53">
        <v>0</v>
      </c>
      <c r="Q19" s="53">
        <v>0</v>
      </c>
      <c r="R19" s="53">
        <v>0</v>
      </c>
      <c r="S19" s="40">
        <f>-SUM(S$4:S18,S20:S$22)</f>
        <v>0</v>
      </c>
      <c r="T19" s="52">
        <v>0</v>
      </c>
      <c r="U19" s="53">
        <v>0</v>
      </c>
      <c r="V19" s="58">
        <v>0</v>
      </c>
    </row>
    <row r="20" spans="1:22">
      <c r="A20" t="s">
        <v>15</v>
      </c>
      <c r="B20" s="1" t="s">
        <v>8</v>
      </c>
      <c r="C20" s="3">
        <v>16</v>
      </c>
      <c r="D20" s="32">
        <f t="shared" si="0"/>
        <v>0</v>
      </c>
      <c r="E20" s="45">
        <v>0</v>
      </c>
      <c r="F20" s="68">
        <v>0</v>
      </c>
      <c r="G20" s="69">
        <v>0</v>
      </c>
      <c r="H20" s="69">
        <v>0</v>
      </c>
      <c r="I20" s="68">
        <v>0</v>
      </c>
      <c r="J20" s="69">
        <v>0</v>
      </c>
      <c r="K20" s="69">
        <v>0</v>
      </c>
      <c r="L20" s="45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39">
        <v>0</v>
      </c>
      <c r="T20" s="40">
        <f>-SUM(T$4:T19,T21:T$22)</f>
        <v>0</v>
      </c>
      <c r="U20" s="41">
        <v>0</v>
      </c>
      <c r="V20" s="46">
        <v>0</v>
      </c>
    </row>
    <row r="21" spans="1:22">
      <c r="B21" s="1" t="s">
        <v>9</v>
      </c>
      <c r="C21" s="3">
        <v>17</v>
      </c>
      <c r="D21" s="32">
        <f t="shared" si="0"/>
        <v>0</v>
      </c>
      <c r="E21" s="39">
        <v>0</v>
      </c>
      <c r="F21" s="39">
        <v>0</v>
      </c>
      <c r="G21" s="41">
        <v>0</v>
      </c>
      <c r="H21" s="41">
        <v>0</v>
      </c>
      <c r="I21" s="39">
        <v>0</v>
      </c>
      <c r="J21" s="41">
        <v>0</v>
      </c>
      <c r="K21" s="41">
        <v>0</v>
      </c>
      <c r="L21" s="45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39">
        <v>0</v>
      </c>
      <c r="T21" s="39">
        <v>0</v>
      </c>
      <c r="U21" s="40">
        <f>-SUM(U$4:U20,U22:U$22)</f>
        <v>0</v>
      </c>
      <c r="V21" s="46">
        <v>0</v>
      </c>
    </row>
    <row r="22" spans="1:22">
      <c r="A22" s="3"/>
      <c r="B22" s="3" t="s">
        <v>10</v>
      </c>
      <c r="C22" s="3">
        <v>18</v>
      </c>
      <c r="D22" s="32">
        <f t="shared" si="0"/>
        <v>0</v>
      </c>
      <c r="E22" s="26">
        <v>0</v>
      </c>
      <c r="F22" s="26">
        <v>0</v>
      </c>
      <c r="G22" s="27">
        <v>0</v>
      </c>
      <c r="H22" s="27">
        <v>0</v>
      </c>
      <c r="I22" s="26">
        <v>0</v>
      </c>
      <c r="J22" s="27">
        <v>0</v>
      </c>
      <c r="K22" s="27">
        <v>0</v>
      </c>
      <c r="L22" s="30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6">
        <v>0</v>
      </c>
      <c r="T22" s="26">
        <v>0</v>
      </c>
      <c r="U22" s="27">
        <v>0</v>
      </c>
      <c r="V22" s="71">
        <f>-SUM(V$4:V21)</f>
        <v>-58170000</v>
      </c>
    </row>
    <row r="23" spans="1:22">
      <c r="C23" t="s">
        <v>18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7">
        <v>0</v>
      </c>
    </row>
    <row r="24" spans="1:22">
      <c r="C24" t="s">
        <v>107</v>
      </c>
      <c r="D24" t="s">
        <v>188</v>
      </c>
      <c r="E24" t="s">
        <v>175</v>
      </c>
      <c r="F24" t="s">
        <v>179</v>
      </c>
      <c r="G24" t="s">
        <v>176</v>
      </c>
      <c r="H24" t="s">
        <v>177</v>
      </c>
      <c r="I24" t="s">
        <v>181</v>
      </c>
      <c r="J24" t="s">
        <v>181</v>
      </c>
      <c r="K24" t="s">
        <v>181</v>
      </c>
      <c r="L24" t="s">
        <v>184</v>
      </c>
      <c r="M24" t="s">
        <v>182</v>
      </c>
      <c r="N24" t="s">
        <v>185</v>
      </c>
      <c r="O24" t="s">
        <v>178</v>
      </c>
      <c r="P24" t="s">
        <v>178</v>
      </c>
      <c r="Q24" t="s">
        <v>178</v>
      </c>
      <c r="R24" t="s">
        <v>180</v>
      </c>
      <c r="S24" t="s">
        <v>178</v>
      </c>
      <c r="T24" t="s">
        <v>178</v>
      </c>
      <c r="U24" t="s">
        <v>178</v>
      </c>
      <c r="V24" t="s">
        <v>183</v>
      </c>
    </row>
    <row r="26" spans="1:22">
      <c r="B26" t="s">
        <v>66</v>
      </c>
      <c r="F26" t="s">
        <v>67</v>
      </c>
    </row>
    <row r="27" spans="1:22">
      <c r="B27" t="s">
        <v>68</v>
      </c>
      <c r="E27" t="s">
        <v>69</v>
      </c>
    </row>
    <row r="28" spans="1:22">
      <c r="B28" t="s">
        <v>1</v>
      </c>
      <c r="E28" t="s">
        <v>12</v>
      </c>
      <c r="G28" t="s">
        <v>70</v>
      </c>
    </row>
    <row r="29" spans="1:22">
      <c r="G29" t="s">
        <v>71</v>
      </c>
    </row>
  </sheetData>
  <phoneticPr fontId="2"/>
  <pageMargins left="0.7" right="0.7" top="0.75" bottom="0.75" header="0.3" footer="0.3"/>
  <pageSetup paperSize="9" scale="5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CB95-443F-AD49-87CE-4D2758959E00}">
  <dimension ref="A1:V22"/>
  <sheetViews>
    <sheetView zoomScale="86" workbookViewId="0">
      <selection activeCell="L3" sqref="L3"/>
    </sheetView>
  </sheetViews>
  <sheetFormatPr baseColWidth="10" defaultColWidth="4.85546875" defaultRowHeight="20"/>
  <cols>
    <col min="4" max="21" width="9.7109375" customWidth="1"/>
    <col min="22" max="22" width="28.28515625" customWidth="1"/>
  </cols>
  <sheetData>
    <row r="1" spans="1:22">
      <c r="D1" s="6" t="s">
        <v>0</v>
      </c>
      <c r="E1" s="7" t="s">
        <v>2</v>
      </c>
      <c r="H1" s="6" t="s">
        <v>7</v>
      </c>
      <c r="K1" s="9" t="s">
        <v>7</v>
      </c>
      <c r="L1" t="s">
        <v>3</v>
      </c>
      <c r="M1" s="9" t="s">
        <v>13</v>
      </c>
      <c r="N1" s="9"/>
      <c r="O1" t="s">
        <v>16</v>
      </c>
      <c r="R1" s="6"/>
      <c r="S1" s="6" t="s">
        <v>15</v>
      </c>
      <c r="T1" t="s">
        <v>17</v>
      </c>
      <c r="U1" s="10"/>
      <c r="V1" t="s">
        <v>19</v>
      </c>
    </row>
    <row r="2" spans="1:22">
      <c r="A2" s="3"/>
      <c r="B2" s="3"/>
      <c r="C2" s="3"/>
      <c r="D2" s="14" t="s">
        <v>1</v>
      </c>
      <c r="E2" s="15" t="s">
        <v>6</v>
      </c>
      <c r="F2" s="3" t="s">
        <v>5</v>
      </c>
      <c r="G2" s="3" t="s">
        <v>4</v>
      </c>
      <c r="H2" s="14" t="s">
        <v>8</v>
      </c>
      <c r="I2" s="3" t="s">
        <v>9</v>
      </c>
      <c r="J2" s="3" t="s">
        <v>10</v>
      </c>
      <c r="K2" s="16" t="s">
        <v>11</v>
      </c>
      <c r="L2" s="3" t="s">
        <v>12</v>
      </c>
      <c r="M2" s="16" t="s">
        <v>14</v>
      </c>
      <c r="N2" s="22" t="s">
        <v>1</v>
      </c>
      <c r="O2" s="17" t="s">
        <v>6</v>
      </c>
      <c r="P2" s="18" t="s">
        <v>5</v>
      </c>
      <c r="Q2" s="3" t="s">
        <v>4</v>
      </c>
      <c r="R2" s="19" t="s">
        <v>12</v>
      </c>
      <c r="S2" s="19" t="s">
        <v>8</v>
      </c>
      <c r="T2" s="17" t="s">
        <v>9</v>
      </c>
      <c r="U2" s="20" t="s">
        <v>10</v>
      </c>
    </row>
    <row r="3" spans="1:22">
      <c r="A3" s="3"/>
      <c r="B3" s="3"/>
      <c r="C3" s="3"/>
      <c r="D3" s="14"/>
      <c r="E3" s="15"/>
      <c r="F3" s="3"/>
      <c r="G3" s="3"/>
      <c r="H3" s="14"/>
      <c r="I3" s="3"/>
      <c r="J3" s="3"/>
      <c r="K3" s="16"/>
      <c r="L3" s="3"/>
      <c r="M3" s="16"/>
      <c r="N3" s="16"/>
      <c r="O3" s="17"/>
      <c r="P3" s="18"/>
      <c r="Q3" s="3"/>
      <c r="R3" s="14"/>
      <c r="S3" s="19"/>
      <c r="T3" s="17"/>
      <c r="U3" s="20"/>
    </row>
    <row r="4" spans="1:22">
      <c r="A4" s="3" t="s">
        <v>0</v>
      </c>
      <c r="B4" s="3" t="s">
        <v>1</v>
      </c>
      <c r="C4" s="3">
        <v>1</v>
      </c>
      <c r="D4" s="23">
        <f>-SUM(D5:D21)</f>
        <v>0</v>
      </c>
      <c r="E4" s="24">
        <v>0</v>
      </c>
      <c r="F4" s="25">
        <v>0</v>
      </c>
      <c r="G4" s="25">
        <v>0</v>
      </c>
      <c r="H4" s="26">
        <v>0</v>
      </c>
      <c r="I4" s="27">
        <v>0</v>
      </c>
      <c r="J4" s="27">
        <v>0</v>
      </c>
      <c r="K4" s="28">
        <v>0</v>
      </c>
      <c r="L4" s="29">
        <v>100000000</v>
      </c>
      <c r="M4" s="30">
        <v>0</v>
      </c>
      <c r="N4" s="30">
        <v>0</v>
      </c>
      <c r="O4" s="27">
        <v>0</v>
      </c>
      <c r="P4" s="27">
        <v>0</v>
      </c>
      <c r="Q4" s="27">
        <v>0</v>
      </c>
      <c r="R4" s="26">
        <v>0</v>
      </c>
      <c r="S4" s="26">
        <v>0</v>
      </c>
      <c r="T4" s="27">
        <v>0</v>
      </c>
      <c r="U4" s="31">
        <v>0</v>
      </c>
    </row>
    <row r="5" spans="1:22">
      <c r="A5" s="4" t="s">
        <v>2</v>
      </c>
      <c r="B5" s="4" t="s">
        <v>6</v>
      </c>
      <c r="C5" s="4">
        <v>2</v>
      </c>
      <c r="D5" s="32">
        <f>-E4</f>
        <v>0</v>
      </c>
      <c r="E5" s="33">
        <f>-(E4+SUM(E6:E21))</f>
        <v>0</v>
      </c>
      <c r="F5" s="34">
        <v>0</v>
      </c>
      <c r="G5" s="34">
        <v>0</v>
      </c>
      <c r="H5" s="35">
        <v>0</v>
      </c>
      <c r="I5" s="34">
        <v>0</v>
      </c>
      <c r="J5" s="34">
        <v>0</v>
      </c>
      <c r="K5" s="36">
        <v>0</v>
      </c>
      <c r="L5" s="34">
        <v>0</v>
      </c>
      <c r="M5" s="37">
        <v>0</v>
      </c>
      <c r="N5" s="36">
        <v>0</v>
      </c>
      <c r="O5" s="34">
        <v>0</v>
      </c>
      <c r="P5" s="34">
        <v>0</v>
      </c>
      <c r="Q5" s="34">
        <v>0</v>
      </c>
      <c r="R5" s="32">
        <v>0</v>
      </c>
      <c r="S5" s="32">
        <v>0</v>
      </c>
      <c r="T5" s="34">
        <v>0</v>
      </c>
      <c r="U5" s="38">
        <v>0</v>
      </c>
    </row>
    <row r="6" spans="1:22">
      <c r="B6" t="s">
        <v>5</v>
      </c>
      <c r="C6">
        <v>3</v>
      </c>
      <c r="D6" s="39">
        <v>0</v>
      </c>
      <c r="E6" s="39">
        <v>0</v>
      </c>
      <c r="F6" s="40">
        <f>-SUM(F$4:F5,F7:F$21)</f>
        <v>0</v>
      </c>
      <c r="G6" s="41">
        <v>0</v>
      </c>
      <c r="H6" s="42">
        <v>0</v>
      </c>
      <c r="I6" s="43">
        <v>0</v>
      </c>
      <c r="J6" s="41">
        <v>0</v>
      </c>
      <c r="K6" s="44">
        <v>0</v>
      </c>
      <c r="L6" s="41">
        <v>0</v>
      </c>
      <c r="M6" s="44">
        <v>0</v>
      </c>
      <c r="N6" s="45">
        <v>0</v>
      </c>
      <c r="O6" s="41">
        <v>0</v>
      </c>
      <c r="P6" s="41">
        <v>0</v>
      </c>
      <c r="Q6" s="41">
        <v>0</v>
      </c>
      <c r="R6" s="39">
        <v>0</v>
      </c>
      <c r="S6" s="39">
        <v>0</v>
      </c>
      <c r="T6" s="41">
        <v>0</v>
      </c>
      <c r="U6" s="46">
        <v>0</v>
      </c>
    </row>
    <row r="7" spans="1:22">
      <c r="A7" s="3"/>
      <c r="B7" s="3" t="s">
        <v>4</v>
      </c>
      <c r="C7" s="3">
        <v>4</v>
      </c>
      <c r="D7" s="26">
        <v>0</v>
      </c>
      <c r="E7" s="26">
        <v>0</v>
      </c>
      <c r="F7" s="27">
        <v>0</v>
      </c>
      <c r="G7" s="40">
        <f>-SUM(G$4:G6,G8:G$21)</f>
        <v>0</v>
      </c>
      <c r="H7" s="47">
        <v>0</v>
      </c>
      <c r="I7" s="29">
        <v>0</v>
      </c>
      <c r="J7" s="29">
        <v>0</v>
      </c>
      <c r="K7" s="48">
        <v>0</v>
      </c>
      <c r="L7" s="27">
        <v>0</v>
      </c>
      <c r="M7" s="48">
        <v>0</v>
      </c>
      <c r="N7" s="30">
        <v>0</v>
      </c>
      <c r="O7" s="27">
        <v>0</v>
      </c>
      <c r="P7" s="27">
        <v>0</v>
      </c>
      <c r="Q7" s="27">
        <v>0</v>
      </c>
      <c r="R7" s="26">
        <v>0</v>
      </c>
      <c r="S7" s="26">
        <v>0</v>
      </c>
      <c r="T7" s="27">
        <v>0</v>
      </c>
      <c r="U7" s="49">
        <v>0</v>
      </c>
    </row>
    <row r="8" spans="1:22">
      <c r="A8" s="5" t="s">
        <v>7</v>
      </c>
      <c r="B8" s="5" t="s">
        <v>8</v>
      </c>
      <c r="C8" s="5">
        <v>5</v>
      </c>
      <c r="D8" s="32">
        <v>0</v>
      </c>
      <c r="E8" s="32">
        <v>0</v>
      </c>
      <c r="F8" s="34">
        <v>0</v>
      </c>
      <c r="G8" s="34">
        <v>0</v>
      </c>
      <c r="H8" s="40">
        <f>-SUM(H$4:H7,H9:H$21)</f>
        <v>0</v>
      </c>
      <c r="I8" s="34">
        <v>0</v>
      </c>
      <c r="J8" s="34">
        <v>0</v>
      </c>
      <c r="K8" s="36">
        <v>0</v>
      </c>
      <c r="L8" s="34">
        <v>0</v>
      </c>
      <c r="M8" s="36">
        <v>0</v>
      </c>
      <c r="N8" s="36">
        <v>0</v>
      </c>
      <c r="O8" s="34">
        <v>0</v>
      </c>
      <c r="P8" s="34">
        <v>0</v>
      </c>
      <c r="Q8" s="50">
        <v>0</v>
      </c>
      <c r="R8" s="32">
        <v>0</v>
      </c>
      <c r="S8" s="32">
        <v>0</v>
      </c>
      <c r="T8" s="34">
        <v>0</v>
      </c>
      <c r="U8" s="38">
        <v>0</v>
      </c>
    </row>
    <row r="9" spans="1:22">
      <c r="B9" t="s">
        <v>9</v>
      </c>
      <c r="C9">
        <v>6</v>
      </c>
      <c r="D9" s="39">
        <v>0</v>
      </c>
      <c r="E9" s="39">
        <v>0</v>
      </c>
      <c r="F9" s="41">
        <v>0</v>
      </c>
      <c r="G9" s="41">
        <v>0</v>
      </c>
      <c r="H9" s="39">
        <v>0</v>
      </c>
      <c r="I9" s="40">
        <f>-SUM(I$4:I8,I10:I$21)</f>
        <v>0</v>
      </c>
      <c r="J9" s="41">
        <v>0</v>
      </c>
      <c r="K9" s="45">
        <v>0</v>
      </c>
      <c r="L9" s="41">
        <v>0</v>
      </c>
      <c r="M9" s="45">
        <v>0</v>
      </c>
      <c r="N9" s="45">
        <v>0</v>
      </c>
      <c r="O9" s="41">
        <v>0</v>
      </c>
      <c r="P9" s="41">
        <v>0</v>
      </c>
      <c r="Q9" s="51">
        <v>0</v>
      </c>
      <c r="R9" s="39">
        <v>0</v>
      </c>
      <c r="S9" s="39">
        <v>0</v>
      </c>
      <c r="T9" s="41">
        <v>0</v>
      </c>
      <c r="U9" s="46">
        <v>0</v>
      </c>
    </row>
    <row r="10" spans="1:22">
      <c r="A10" s="3"/>
      <c r="B10" s="3" t="s">
        <v>10</v>
      </c>
      <c r="C10" s="3">
        <v>7</v>
      </c>
      <c r="D10" s="26">
        <v>0</v>
      </c>
      <c r="E10" s="26">
        <v>0</v>
      </c>
      <c r="F10" s="27">
        <v>0</v>
      </c>
      <c r="G10" s="27">
        <v>0</v>
      </c>
      <c r="H10" s="26">
        <v>0</v>
      </c>
      <c r="I10" s="27">
        <v>0</v>
      </c>
      <c r="J10" s="40">
        <f>-SUM(J$4:J9,J11:J$21)</f>
        <v>0</v>
      </c>
      <c r="K10" s="30">
        <v>0</v>
      </c>
      <c r="L10" s="27">
        <v>0</v>
      </c>
      <c r="M10" s="30">
        <v>0</v>
      </c>
      <c r="N10" s="30">
        <v>0</v>
      </c>
      <c r="O10" s="27">
        <v>0</v>
      </c>
      <c r="P10" s="27">
        <v>0</v>
      </c>
      <c r="Q10" s="25">
        <v>0</v>
      </c>
      <c r="R10" s="26">
        <v>0</v>
      </c>
      <c r="S10" s="26">
        <v>0</v>
      </c>
      <c r="T10" s="27">
        <v>0</v>
      </c>
      <c r="U10" s="31">
        <v>0</v>
      </c>
    </row>
    <row r="11" spans="1:22">
      <c r="A11" s="8" t="s">
        <v>7</v>
      </c>
      <c r="B11" s="8" t="s">
        <v>11</v>
      </c>
      <c r="C11" s="8">
        <v>8</v>
      </c>
      <c r="D11" s="52">
        <v>0</v>
      </c>
      <c r="E11" s="52">
        <v>0</v>
      </c>
      <c r="F11" s="53">
        <v>0</v>
      </c>
      <c r="G11" s="53">
        <v>0</v>
      </c>
      <c r="H11" s="52">
        <v>0</v>
      </c>
      <c r="I11" s="53">
        <v>0</v>
      </c>
      <c r="J11" s="53">
        <v>0</v>
      </c>
      <c r="K11" s="54">
        <f>-SUM(K$4:K10,K12:K$21)</f>
        <v>0</v>
      </c>
      <c r="L11" s="55">
        <v>0</v>
      </c>
      <c r="M11" s="56">
        <v>0</v>
      </c>
      <c r="N11" s="56">
        <v>0</v>
      </c>
      <c r="O11" s="53">
        <v>0</v>
      </c>
      <c r="P11" s="53">
        <v>0</v>
      </c>
      <c r="Q11" s="57">
        <v>0</v>
      </c>
      <c r="R11" s="52">
        <v>0</v>
      </c>
      <c r="S11" s="52">
        <v>0</v>
      </c>
      <c r="T11" s="53">
        <v>0</v>
      </c>
      <c r="U11" s="58">
        <v>0</v>
      </c>
    </row>
    <row r="12" spans="1:22">
      <c r="A12" s="11" t="s">
        <v>3</v>
      </c>
      <c r="B12" s="12" t="s">
        <v>12</v>
      </c>
      <c r="C12" s="12">
        <v>9</v>
      </c>
      <c r="D12" s="52">
        <v>0</v>
      </c>
      <c r="E12" s="52">
        <v>0</v>
      </c>
      <c r="F12" s="53">
        <v>0</v>
      </c>
      <c r="G12" s="53">
        <v>0</v>
      </c>
      <c r="H12" s="52">
        <v>0</v>
      </c>
      <c r="I12" s="53">
        <v>0</v>
      </c>
      <c r="J12" s="53">
        <v>0</v>
      </c>
      <c r="K12" s="56">
        <v>0</v>
      </c>
      <c r="L12" s="40">
        <f>-SUM(L$4:L11,L13:L$21)</f>
        <v>-100000000</v>
      </c>
      <c r="M12" s="56">
        <v>0</v>
      </c>
      <c r="N12" s="56">
        <v>0</v>
      </c>
      <c r="O12" s="53">
        <v>0</v>
      </c>
      <c r="P12" s="53">
        <v>0</v>
      </c>
      <c r="Q12" s="53">
        <v>0</v>
      </c>
      <c r="R12" s="52">
        <v>0</v>
      </c>
      <c r="S12" s="52">
        <v>0</v>
      </c>
      <c r="T12" s="53">
        <v>0</v>
      </c>
      <c r="U12" s="58">
        <v>0</v>
      </c>
    </row>
    <row r="13" spans="1:22">
      <c r="A13" s="8" t="s">
        <v>13</v>
      </c>
      <c r="B13" s="8" t="s">
        <v>14</v>
      </c>
      <c r="C13" s="8">
        <v>10</v>
      </c>
      <c r="D13" s="52">
        <v>0</v>
      </c>
      <c r="E13" s="52">
        <v>0</v>
      </c>
      <c r="F13" s="53">
        <v>0</v>
      </c>
      <c r="G13" s="53">
        <v>0</v>
      </c>
      <c r="H13" s="52">
        <v>0</v>
      </c>
      <c r="I13" s="53">
        <v>0</v>
      </c>
      <c r="J13" s="53">
        <v>0</v>
      </c>
      <c r="K13" s="59">
        <v>0</v>
      </c>
      <c r="L13" s="60">
        <v>0</v>
      </c>
      <c r="M13" s="54">
        <f>-SUM(M$4:M12,M14:M$21)</f>
        <v>0</v>
      </c>
      <c r="N13" s="59">
        <v>0</v>
      </c>
      <c r="O13" s="53">
        <v>0</v>
      </c>
      <c r="P13" s="53">
        <v>0</v>
      </c>
      <c r="Q13" s="57">
        <v>0</v>
      </c>
      <c r="R13" s="59">
        <v>0</v>
      </c>
      <c r="S13" s="61">
        <v>0</v>
      </c>
      <c r="T13" s="60">
        <v>0</v>
      </c>
      <c r="U13" s="62">
        <v>0</v>
      </c>
    </row>
    <row r="14" spans="1:22">
      <c r="A14" s="8"/>
      <c r="B14" s="13" t="s">
        <v>1</v>
      </c>
      <c r="C14" s="17">
        <v>11</v>
      </c>
      <c r="D14" s="63">
        <v>0</v>
      </c>
      <c r="E14" s="63">
        <v>0</v>
      </c>
      <c r="F14" s="64">
        <v>0</v>
      </c>
      <c r="G14" s="64">
        <v>0</v>
      </c>
      <c r="H14" s="63">
        <v>0</v>
      </c>
      <c r="I14" s="64">
        <v>0</v>
      </c>
      <c r="J14" s="64">
        <v>0</v>
      </c>
      <c r="K14" s="65">
        <v>0</v>
      </c>
      <c r="L14" s="64">
        <v>0</v>
      </c>
      <c r="M14" s="65">
        <v>0</v>
      </c>
      <c r="N14" s="66">
        <f>-SUM(N$4:N13,N15:N$21)</f>
        <v>0</v>
      </c>
      <c r="O14" s="27">
        <v>0</v>
      </c>
      <c r="P14" s="53">
        <v>0</v>
      </c>
      <c r="Q14" s="62">
        <v>0</v>
      </c>
      <c r="R14" s="65">
        <v>0</v>
      </c>
      <c r="S14" s="61">
        <v>0</v>
      </c>
      <c r="T14" s="60">
        <v>0</v>
      </c>
      <c r="U14" s="67">
        <v>0</v>
      </c>
    </row>
    <row r="15" spans="1:22">
      <c r="A15" t="s">
        <v>16</v>
      </c>
      <c r="B15" s="1" t="s">
        <v>6</v>
      </c>
      <c r="C15" s="1">
        <v>12</v>
      </c>
      <c r="D15" s="68">
        <v>0</v>
      </c>
      <c r="E15" s="68">
        <v>0</v>
      </c>
      <c r="F15" s="69">
        <v>0</v>
      </c>
      <c r="G15" s="69">
        <v>0</v>
      </c>
      <c r="H15" s="68">
        <v>0</v>
      </c>
      <c r="I15" s="69">
        <v>0</v>
      </c>
      <c r="J15" s="69">
        <v>0</v>
      </c>
      <c r="K15" s="70">
        <v>0</v>
      </c>
      <c r="L15" s="69">
        <v>0</v>
      </c>
      <c r="M15" s="70">
        <v>0</v>
      </c>
      <c r="N15" s="70">
        <v>0</v>
      </c>
      <c r="O15" s="40">
        <f>-SUM(O$4:O14,O16:O$21)</f>
        <v>0</v>
      </c>
      <c r="P15" s="41">
        <v>0</v>
      </c>
      <c r="Q15" s="69">
        <v>0</v>
      </c>
      <c r="R15" s="68">
        <v>0</v>
      </c>
      <c r="S15" s="39">
        <v>0</v>
      </c>
      <c r="T15" s="41">
        <v>0</v>
      </c>
      <c r="U15" s="46">
        <v>0</v>
      </c>
    </row>
    <row r="16" spans="1:22">
      <c r="B16" s="2" t="s">
        <v>5</v>
      </c>
      <c r="C16" s="2">
        <v>13</v>
      </c>
      <c r="D16" s="39">
        <v>0</v>
      </c>
      <c r="E16" s="39">
        <v>0</v>
      </c>
      <c r="F16" s="41">
        <v>0</v>
      </c>
      <c r="G16" s="41">
        <v>0</v>
      </c>
      <c r="H16" s="39">
        <v>0</v>
      </c>
      <c r="I16" s="41">
        <v>0</v>
      </c>
      <c r="J16" s="41">
        <v>0</v>
      </c>
      <c r="K16" s="45">
        <v>0</v>
      </c>
      <c r="L16" s="41">
        <v>0</v>
      </c>
      <c r="M16" s="45">
        <v>0</v>
      </c>
      <c r="N16" s="45">
        <v>0</v>
      </c>
      <c r="O16" s="41">
        <v>0</v>
      </c>
      <c r="P16" s="40">
        <f>-SUM(P$4:P15,P17:P$21)</f>
        <v>0</v>
      </c>
      <c r="Q16" s="41">
        <v>0</v>
      </c>
      <c r="R16" s="39">
        <v>0</v>
      </c>
      <c r="S16" s="39">
        <v>0</v>
      </c>
      <c r="T16" s="41">
        <v>0</v>
      </c>
      <c r="U16" s="46">
        <v>0</v>
      </c>
    </row>
    <row r="17" spans="1:21">
      <c r="B17" s="3" t="s">
        <v>4</v>
      </c>
      <c r="C17" s="3">
        <v>14</v>
      </c>
      <c r="D17" s="26">
        <v>0</v>
      </c>
      <c r="E17" s="26">
        <v>0</v>
      </c>
      <c r="F17" s="27">
        <v>0</v>
      </c>
      <c r="G17" s="27">
        <v>0</v>
      </c>
      <c r="H17" s="26">
        <v>0</v>
      </c>
      <c r="I17" s="27">
        <v>0</v>
      </c>
      <c r="J17" s="27">
        <v>0</v>
      </c>
      <c r="K17" s="30">
        <v>0</v>
      </c>
      <c r="L17" s="27">
        <v>0</v>
      </c>
      <c r="M17" s="30">
        <v>0</v>
      </c>
      <c r="N17" s="30">
        <v>0</v>
      </c>
      <c r="O17" s="27">
        <v>0</v>
      </c>
      <c r="P17" s="27">
        <v>0</v>
      </c>
      <c r="Q17" s="40">
        <f>-SUM(Q$4:Q16,Q18:Q$21)</f>
        <v>0</v>
      </c>
      <c r="R17" s="26">
        <v>0</v>
      </c>
      <c r="S17" s="26">
        <v>0</v>
      </c>
      <c r="T17" s="27">
        <v>0</v>
      </c>
      <c r="U17" s="49">
        <v>0</v>
      </c>
    </row>
    <row r="18" spans="1:21">
      <c r="A18" s="8"/>
      <c r="B18" s="17" t="s">
        <v>12</v>
      </c>
      <c r="C18" s="3">
        <v>15</v>
      </c>
      <c r="D18" s="56">
        <v>0</v>
      </c>
      <c r="E18" s="52">
        <v>0</v>
      </c>
      <c r="F18" s="53">
        <v>0</v>
      </c>
      <c r="G18" s="53">
        <v>0</v>
      </c>
      <c r="H18" s="52">
        <v>0</v>
      </c>
      <c r="I18" s="53">
        <v>0</v>
      </c>
      <c r="J18" s="53">
        <v>0</v>
      </c>
      <c r="K18" s="56">
        <v>0</v>
      </c>
      <c r="L18" s="53">
        <v>0</v>
      </c>
      <c r="M18" s="56">
        <v>0</v>
      </c>
      <c r="N18" s="56">
        <v>0</v>
      </c>
      <c r="O18" s="53">
        <v>0</v>
      </c>
      <c r="P18" s="53">
        <v>0</v>
      </c>
      <c r="Q18" s="53">
        <v>0</v>
      </c>
      <c r="R18" s="40">
        <f>-SUM(R$4:R17,R19:R$21)</f>
        <v>0</v>
      </c>
      <c r="S18" s="52">
        <v>0</v>
      </c>
      <c r="T18" s="53">
        <v>0</v>
      </c>
      <c r="U18" s="58">
        <v>0</v>
      </c>
    </row>
    <row r="19" spans="1:21">
      <c r="A19" t="s">
        <v>15</v>
      </c>
      <c r="B19" s="1" t="s">
        <v>8</v>
      </c>
      <c r="C19" s="1">
        <v>16</v>
      </c>
      <c r="D19" s="45">
        <v>0</v>
      </c>
      <c r="E19" s="68">
        <v>0</v>
      </c>
      <c r="F19" s="69">
        <v>0</v>
      </c>
      <c r="G19" s="69">
        <v>0</v>
      </c>
      <c r="H19" s="68">
        <v>0</v>
      </c>
      <c r="I19" s="69">
        <v>0</v>
      </c>
      <c r="J19" s="69">
        <v>0</v>
      </c>
      <c r="K19" s="45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39">
        <v>0</v>
      </c>
      <c r="S19" s="40">
        <f>-SUM(S$4:S18,S20:S$21)</f>
        <v>0</v>
      </c>
      <c r="T19" s="41">
        <v>0</v>
      </c>
      <c r="U19" s="46">
        <v>0</v>
      </c>
    </row>
    <row r="20" spans="1:21">
      <c r="B20" s="1" t="s">
        <v>9</v>
      </c>
      <c r="C20" s="1">
        <v>17</v>
      </c>
      <c r="D20" s="39">
        <v>0</v>
      </c>
      <c r="E20" s="39">
        <v>0</v>
      </c>
      <c r="F20" s="41">
        <v>0</v>
      </c>
      <c r="G20" s="41">
        <v>0</v>
      </c>
      <c r="H20" s="39">
        <v>0</v>
      </c>
      <c r="I20" s="41">
        <v>0</v>
      </c>
      <c r="J20" s="41">
        <v>0</v>
      </c>
      <c r="K20" s="45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39">
        <v>0</v>
      </c>
      <c r="S20" s="39">
        <v>0</v>
      </c>
      <c r="T20" s="40">
        <f>-SUM(T$4:T19,T21:T$21)</f>
        <v>0</v>
      </c>
      <c r="U20" s="46">
        <v>0</v>
      </c>
    </row>
    <row r="21" spans="1:21">
      <c r="A21" s="3"/>
      <c r="B21" s="3" t="s">
        <v>10</v>
      </c>
      <c r="C21" s="3">
        <v>18</v>
      </c>
      <c r="D21" s="39">
        <v>0</v>
      </c>
      <c r="E21" s="26">
        <v>0</v>
      </c>
      <c r="F21" s="27">
        <v>0</v>
      </c>
      <c r="G21" s="27">
        <v>0</v>
      </c>
      <c r="H21" s="26">
        <v>0</v>
      </c>
      <c r="I21" s="27">
        <v>0</v>
      </c>
      <c r="J21" s="27">
        <v>0</v>
      </c>
      <c r="K21" s="45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39">
        <v>0</v>
      </c>
      <c r="S21" s="39">
        <v>0</v>
      </c>
      <c r="T21" s="41">
        <v>0</v>
      </c>
      <c r="U21" s="71">
        <f>-SUM(U$4:U20)</f>
        <v>0</v>
      </c>
    </row>
    <row r="22" spans="1:21">
      <c r="C22" t="s">
        <v>18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DC89-CF5F-664F-9E78-4F3F0E306EC2}">
  <dimension ref="A1:L35"/>
  <sheetViews>
    <sheetView zoomScale="125" workbookViewId="0">
      <selection activeCell="C23" sqref="C23"/>
    </sheetView>
  </sheetViews>
  <sheetFormatPr baseColWidth="10" defaultColWidth="4.85546875" defaultRowHeight="20"/>
  <cols>
    <col min="1" max="2" width="4.85546875" style="72"/>
    <col min="3" max="4" width="18.5703125" style="72" customWidth="1"/>
    <col min="5" max="5" width="16.7109375" style="74" customWidth="1"/>
    <col min="6" max="6" width="15.7109375" style="73" customWidth="1"/>
    <col min="7" max="7" width="4.85546875" style="72"/>
    <col min="8" max="8" width="8.5703125" style="72" bestFit="1" customWidth="1"/>
    <col min="9" max="9" width="4.85546875" style="72"/>
    <col min="10" max="10" width="8.140625" style="72" bestFit="1" customWidth="1"/>
    <col min="11" max="11" width="13" style="72" bestFit="1" customWidth="1"/>
    <col min="12" max="12" width="8.85546875" style="72" bestFit="1" customWidth="1"/>
    <col min="13" max="16384" width="4.85546875" style="72"/>
  </cols>
  <sheetData>
    <row r="1" spans="1:12">
      <c r="C1" s="72" t="s">
        <v>62</v>
      </c>
      <c r="D1" s="72" t="s">
        <v>61</v>
      </c>
      <c r="E1" s="74" t="s">
        <v>41</v>
      </c>
      <c r="F1" s="74" t="s">
        <v>49</v>
      </c>
      <c r="G1" s="72" t="s">
        <v>50</v>
      </c>
      <c r="H1" s="72" t="s">
        <v>52</v>
      </c>
      <c r="I1" s="72" t="s">
        <v>51</v>
      </c>
      <c r="J1" s="72" t="s">
        <v>54</v>
      </c>
    </row>
    <row r="2" spans="1:12">
      <c r="A2" s="72" t="s">
        <v>0</v>
      </c>
      <c r="B2" s="72" t="s">
        <v>1</v>
      </c>
      <c r="C2" s="92">
        <v>1</v>
      </c>
      <c r="D2" s="92">
        <v>1</v>
      </c>
      <c r="E2" s="74">
        <v>0</v>
      </c>
      <c r="F2" s="73">
        <f>E2*PhysicsConstants!$B$2*100</f>
        <v>0</v>
      </c>
      <c r="G2" s="72">
        <f>(INT(LEFT(B2,1))-1)/2</f>
        <v>0</v>
      </c>
      <c r="H2" s="72">
        <f t="shared" ref="H2:H34" si="0">IF(MID(B2,2,1)="S",0,IF(MID(B2,2,1)="P",1,IF(MID(B2,2,1)="D",2,3)))</f>
        <v>0</v>
      </c>
      <c r="I2" s="72">
        <f t="shared" ref="I2:I9" si="1">INT(RIGHT(B2,1))</f>
        <v>0</v>
      </c>
      <c r="J2" s="72">
        <f>IF(I2=0,0,1.5+(-H2*(H2+1)+G2*(G2+1))/(2*I2*(I2+1)))</f>
        <v>0</v>
      </c>
    </row>
    <row r="3" spans="1:12">
      <c r="A3" s="72" t="s">
        <v>2</v>
      </c>
      <c r="B3" s="72" t="s">
        <v>6</v>
      </c>
      <c r="C3" s="92">
        <v>2</v>
      </c>
      <c r="D3" s="92">
        <v>2</v>
      </c>
      <c r="E3" s="75">
        <v>14317.507</v>
      </c>
      <c r="F3" s="73">
        <f>E3*PhysicsConstants!$B$2*100</f>
        <v>429228061596220.62</v>
      </c>
      <c r="G3" s="72">
        <f t="shared" ref="G3:G35" si="2">(INT(LEFT(B3,1))-1)/2</f>
        <v>1</v>
      </c>
      <c r="H3" s="72">
        <f>IF(MID(B3,2,1)="S",0,IF(MID(B3,2,1)="P",1,IF(MID(B3,2,1)="D",2,3)))</f>
        <v>1</v>
      </c>
      <c r="I3" s="72">
        <f t="shared" si="1"/>
        <v>0</v>
      </c>
      <c r="J3" s="72">
        <f t="shared" ref="J3:J35" si="3">IF(I3=0,0,1.5+(-H3*(H3+1)+G3*(G3+1))/(2*I3*(I3+1)))</f>
        <v>0</v>
      </c>
    </row>
    <row r="4" spans="1:12">
      <c r="A4" s="72" t="s">
        <v>2</v>
      </c>
      <c r="B4" s="72" t="s">
        <v>5</v>
      </c>
      <c r="C4" s="92">
        <v>3</v>
      </c>
      <c r="D4" s="92">
        <v>3</v>
      </c>
      <c r="E4" s="73">
        <v>14504.334000000001</v>
      </c>
      <c r="F4" s="73">
        <f>E4*PhysicsConstants!$B$2*100</f>
        <v>434828994151297.19</v>
      </c>
      <c r="G4" s="72">
        <f t="shared" si="2"/>
        <v>1</v>
      </c>
      <c r="H4" s="72">
        <f t="shared" si="0"/>
        <v>1</v>
      </c>
      <c r="I4" s="72">
        <f t="shared" si="1"/>
        <v>1</v>
      </c>
      <c r="J4" s="72">
        <f>IF(I4=0,0,1.5+(-H4*(H4+1)+G4*(G4+1))/(2*I4*(I4+1)))</f>
        <v>1.5</v>
      </c>
    </row>
    <row r="5" spans="1:12">
      <c r="A5" s="72" t="s">
        <v>2</v>
      </c>
      <c r="B5" s="72" t="s">
        <v>4</v>
      </c>
      <c r="C5" s="92">
        <v>4</v>
      </c>
      <c r="D5" s="92">
        <v>4</v>
      </c>
      <c r="E5" s="73">
        <v>14898.545</v>
      </c>
      <c r="F5" s="73">
        <f>E5*PhysicsConstants!$B$2*100</f>
        <v>446647142617361.06</v>
      </c>
      <c r="G5" s="72">
        <f t="shared" si="2"/>
        <v>1</v>
      </c>
      <c r="H5" s="72">
        <f t="shared" si="0"/>
        <v>1</v>
      </c>
      <c r="I5" s="72">
        <f t="shared" si="1"/>
        <v>2</v>
      </c>
      <c r="J5" s="72">
        <f t="shared" si="3"/>
        <v>1.5</v>
      </c>
      <c r="L5" s="77">
        <f>100*E10*PhysicsConstants!B4/PhysicsConstants!B5*2*PI()</f>
        <v>9.7607239684973559E-3</v>
      </c>
    </row>
    <row r="6" spans="1:12">
      <c r="A6" s="72" t="s">
        <v>7</v>
      </c>
      <c r="B6" s="72" t="s">
        <v>8</v>
      </c>
      <c r="C6" s="92">
        <v>5</v>
      </c>
      <c r="D6" s="92">
        <v>5</v>
      </c>
      <c r="E6" s="73">
        <v>18159.04</v>
      </c>
      <c r="F6" s="73">
        <f>E6*PhysicsConstants!$B$2*100</f>
        <v>544394323652032</v>
      </c>
      <c r="G6" s="72">
        <f t="shared" si="2"/>
        <v>1</v>
      </c>
      <c r="H6" s="72">
        <f t="shared" si="0"/>
        <v>2</v>
      </c>
      <c r="I6" s="72">
        <f t="shared" si="1"/>
        <v>1</v>
      </c>
      <c r="J6" s="72">
        <f t="shared" si="3"/>
        <v>0.5</v>
      </c>
    </row>
    <row r="7" spans="1:12">
      <c r="A7" s="72" t="s">
        <v>7</v>
      </c>
      <c r="B7" s="72" t="s">
        <v>9</v>
      </c>
      <c r="C7" s="92">
        <v>6</v>
      </c>
      <c r="D7" s="92">
        <v>6</v>
      </c>
      <c r="E7" s="73">
        <v>18218.784</v>
      </c>
      <c r="F7" s="73">
        <f>E7*PhysicsConstants!$B$2*100</f>
        <v>546185403713107.25</v>
      </c>
      <c r="G7" s="72">
        <f t="shared" si="2"/>
        <v>1</v>
      </c>
      <c r="H7" s="72">
        <f t="shared" si="0"/>
        <v>2</v>
      </c>
      <c r="I7" s="72">
        <f t="shared" si="1"/>
        <v>2</v>
      </c>
      <c r="J7" s="72">
        <f t="shared" si="3"/>
        <v>1.1666666666666667</v>
      </c>
    </row>
    <row r="8" spans="1:12">
      <c r="A8" s="72" t="s">
        <v>7</v>
      </c>
      <c r="B8" s="72" t="s">
        <v>10</v>
      </c>
      <c r="C8" s="92">
        <v>7</v>
      </c>
      <c r="D8" s="92">
        <v>7</v>
      </c>
      <c r="E8" s="73">
        <v>18319.260999999999</v>
      </c>
      <c r="F8" s="73">
        <f>E8*PhysicsConstants!$B$2*100</f>
        <v>549197628393353.69</v>
      </c>
      <c r="G8" s="72">
        <f t="shared" si="2"/>
        <v>1</v>
      </c>
      <c r="H8" s="72">
        <f t="shared" si="0"/>
        <v>2</v>
      </c>
      <c r="I8" s="72">
        <f t="shared" si="1"/>
        <v>3</v>
      </c>
      <c r="J8" s="72">
        <f>IF(I8=0,0,1.5+(-H8*(H8+1)+G8*(G8+1))/(2*I8*(I8+1)))</f>
        <v>1.3333333333333333</v>
      </c>
    </row>
    <row r="9" spans="1:12">
      <c r="A9" s="72" t="s">
        <v>7</v>
      </c>
      <c r="B9" s="72" t="s">
        <v>11</v>
      </c>
      <c r="C9" s="92">
        <v>8</v>
      </c>
      <c r="D9" s="92">
        <v>8</v>
      </c>
      <c r="E9" s="73">
        <v>20149.685000000001</v>
      </c>
      <c r="F9" s="73">
        <f>E9*PhysicsConstants!$B$2*100</f>
        <v>604072359407573</v>
      </c>
      <c r="G9" s="72">
        <f t="shared" si="2"/>
        <v>0</v>
      </c>
      <c r="H9" s="72">
        <f t="shared" si="0"/>
        <v>2</v>
      </c>
      <c r="I9" s="72">
        <f t="shared" si="1"/>
        <v>2</v>
      </c>
      <c r="J9" s="72">
        <f t="shared" si="3"/>
        <v>1</v>
      </c>
    </row>
    <row r="10" spans="1:12">
      <c r="A10" s="72" t="s">
        <v>3</v>
      </c>
      <c r="B10" s="72" t="s">
        <v>12</v>
      </c>
      <c r="C10" s="92">
        <v>9</v>
      </c>
      <c r="D10" s="92">
        <v>9</v>
      </c>
      <c r="E10" s="73">
        <v>21698.452000000001</v>
      </c>
      <c r="F10" s="73">
        <f>E10*PhysicsConstants!$B$2*100</f>
        <v>650503225987501.62</v>
      </c>
      <c r="G10" s="72">
        <f t="shared" si="2"/>
        <v>0</v>
      </c>
      <c r="H10" s="72">
        <f t="shared" si="0"/>
        <v>1</v>
      </c>
      <c r="I10" s="72">
        <f>INT(RIGHT(B10,1))</f>
        <v>1</v>
      </c>
      <c r="J10" s="72">
        <f t="shared" si="3"/>
        <v>1</v>
      </c>
    </row>
    <row r="11" spans="1:12">
      <c r="A11" s="72" t="s">
        <v>13</v>
      </c>
      <c r="B11" s="72" t="s">
        <v>14</v>
      </c>
      <c r="C11" s="92">
        <v>10</v>
      </c>
      <c r="D11" s="92">
        <v>10</v>
      </c>
      <c r="E11" s="73">
        <v>29038.773000000001</v>
      </c>
      <c r="F11" s="73">
        <f>E11*PhysicsConstants!$B$2*100</f>
        <v>870560513497403.38</v>
      </c>
      <c r="G11" s="72">
        <f t="shared" si="2"/>
        <v>1</v>
      </c>
      <c r="H11" s="72">
        <f t="shared" si="0"/>
        <v>0</v>
      </c>
      <c r="I11" s="72">
        <f t="shared" ref="I11:I35" si="4">INT(RIGHT(B11,1))</f>
        <v>1</v>
      </c>
      <c r="J11" s="72">
        <f t="shared" si="3"/>
        <v>2</v>
      </c>
    </row>
    <row r="12" spans="1:12">
      <c r="A12" s="72" t="s">
        <v>13</v>
      </c>
      <c r="B12" s="72" t="s">
        <v>1</v>
      </c>
      <c r="C12" s="92">
        <v>11</v>
      </c>
      <c r="D12" s="92">
        <v>11</v>
      </c>
      <c r="E12" s="73">
        <v>30591.825000000001</v>
      </c>
      <c r="F12" s="73">
        <f>E12*PhysicsConstants!$B$2*100</f>
        <v>917119841145585</v>
      </c>
      <c r="G12" s="72">
        <f t="shared" si="2"/>
        <v>0</v>
      </c>
      <c r="H12" s="72">
        <f t="shared" si="0"/>
        <v>0</v>
      </c>
      <c r="I12" s="72">
        <f t="shared" si="4"/>
        <v>0</v>
      </c>
      <c r="J12" s="72">
        <f t="shared" si="3"/>
        <v>0</v>
      </c>
    </row>
    <row r="13" spans="1:12">
      <c r="A13" s="72" t="s">
        <v>42</v>
      </c>
      <c r="B13" s="72" t="s">
        <v>43</v>
      </c>
      <c r="C13" s="92"/>
      <c r="D13" s="92">
        <v>12</v>
      </c>
      <c r="E13" s="73">
        <v>33266.851000000002</v>
      </c>
      <c r="F13" s="73">
        <f>E13*PhysicsConstants!$B$2*100</f>
        <v>997315103120975.75</v>
      </c>
      <c r="G13" s="72">
        <f t="shared" si="2"/>
        <v>1</v>
      </c>
      <c r="H13" s="72">
        <f t="shared" si="0"/>
        <v>3</v>
      </c>
      <c r="I13" s="72">
        <f t="shared" si="4"/>
        <v>2</v>
      </c>
      <c r="J13" s="72">
        <f t="shared" si="3"/>
        <v>0.66666666666666663</v>
      </c>
    </row>
    <row r="14" spans="1:12">
      <c r="A14" s="72" t="s">
        <v>42</v>
      </c>
      <c r="B14" s="72" t="s">
        <v>44</v>
      </c>
      <c r="C14" s="92"/>
      <c r="D14" s="92">
        <v>13</v>
      </c>
      <c r="E14" s="73">
        <v>33589.709000000003</v>
      </c>
      <c r="F14" s="73">
        <f>E14*PhysicsConstants!$B$2*100</f>
        <v>1006994142461472.2</v>
      </c>
      <c r="G14" s="72">
        <f t="shared" si="2"/>
        <v>1</v>
      </c>
      <c r="H14" s="72">
        <f t="shared" si="0"/>
        <v>3</v>
      </c>
      <c r="I14" s="72">
        <f t="shared" si="4"/>
        <v>3</v>
      </c>
      <c r="J14" s="72">
        <f t="shared" si="3"/>
        <v>1.0833333333333333</v>
      </c>
    </row>
    <row r="15" spans="1:12">
      <c r="A15" s="72" t="s">
        <v>16</v>
      </c>
      <c r="B15" s="72" t="s">
        <v>6</v>
      </c>
      <c r="C15" s="92">
        <v>12</v>
      </c>
      <c r="D15" s="92">
        <v>14</v>
      </c>
      <c r="E15" s="73">
        <v>33853.49</v>
      </c>
      <c r="F15" s="73">
        <f>E15*PhysicsConstants!$B$2*100</f>
        <v>1014902097897842</v>
      </c>
      <c r="G15" s="72">
        <f t="shared" si="2"/>
        <v>1</v>
      </c>
      <c r="H15" s="72">
        <f t="shared" si="0"/>
        <v>1</v>
      </c>
      <c r="I15" s="72">
        <f t="shared" si="4"/>
        <v>0</v>
      </c>
      <c r="J15" s="72">
        <f t="shared" si="3"/>
        <v>0</v>
      </c>
    </row>
    <row r="16" spans="1:12">
      <c r="A16" s="72" t="s">
        <v>16</v>
      </c>
      <c r="B16" s="72" t="s">
        <v>5</v>
      </c>
      <c r="C16" s="92">
        <v>13</v>
      </c>
      <c r="D16" s="92">
        <v>15</v>
      </c>
      <c r="E16" s="73">
        <v>33868.317000000003</v>
      </c>
      <c r="F16" s="73">
        <f>E16*PhysicsConstants!$B$2*100</f>
        <v>1015346600175318.8</v>
      </c>
      <c r="G16" s="72">
        <f t="shared" si="2"/>
        <v>1</v>
      </c>
      <c r="H16" s="72">
        <f t="shared" si="0"/>
        <v>1</v>
      </c>
      <c r="I16" s="72">
        <f t="shared" si="4"/>
        <v>1</v>
      </c>
      <c r="J16" s="72">
        <f t="shared" si="3"/>
        <v>1.5</v>
      </c>
    </row>
    <row r="17" spans="1:11">
      <c r="A17" s="72" t="s">
        <v>16</v>
      </c>
      <c r="B17" s="72" t="s">
        <v>4</v>
      </c>
      <c r="C17" s="92">
        <v>14</v>
      </c>
      <c r="D17" s="92">
        <v>16</v>
      </c>
      <c r="E17" s="73">
        <v>33973.065000000002</v>
      </c>
      <c r="F17" s="73">
        <f>E17*PhysicsConstants!$B$2*100</f>
        <v>1018486866214377.1</v>
      </c>
      <c r="G17" s="72">
        <f t="shared" si="2"/>
        <v>1</v>
      </c>
      <c r="H17" s="72">
        <f t="shared" si="0"/>
        <v>1</v>
      </c>
      <c r="I17" s="72">
        <f t="shared" si="4"/>
        <v>2</v>
      </c>
      <c r="J17" s="72">
        <f t="shared" si="3"/>
        <v>1.5</v>
      </c>
    </row>
    <row r="18" spans="1:11">
      <c r="A18" s="72" t="s">
        <v>42</v>
      </c>
      <c r="B18" s="72" t="s">
        <v>45</v>
      </c>
      <c r="C18" s="92"/>
      <c r="D18" s="92">
        <v>17</v>
      </c>
      <c r="E18" s="73">
        <v>33919.315000000002</v>
      </c>
      <c r="F18" s="73">
        <f>E18*PhysicsConstants!$B$2*100</f>
        <v>1016875481752627.1</v>
      </c>
      <c r="G18" s="72">
        <f t="shared" si="2"/>
        <v>1</v>
      </c>
      <c r="H18" s="72">
        <f t="shared" si="0"/>
        <v>3</v>
      </c>
      <c r="I18" s="72">
        <f t="shared" si="4"/>
        <v>4</v>
      </c>
      <c r="J18" s="72">
        <f t="shared" si="3"/>
        <v>1.25</v>
      </c>
    </row>
    <row r="19" spans="1:11">
      <c r="A19" s="72" t="s">
        <v>42</v>
      </c>
      <c r="B19" s="72" t="s">
        <v>11</v>
      </c>
      <c r="C19" s="92"/>
      <c r="D19" s="92">
        <v>18</v>
      </c>
      <c r="E19" s="73">
        <v>33826.898999999998</v>
      </c>
      <c r="F19" s="73">
        <f>E19*PhysicsConstants!$B$2*100</f>
        <v>1014104919772774.2</v>
      </c>
      <c r="G19" s="72">
        <f t="shared" si="2"/>
        <v>0</v>
      </c>
      <c r="H19" s="72">
        <f t="shared" si="0"/>
        <v>2</v>
      </c>
      <c r="I19" s="72">
        <f t="shared" si="4"/>
        <v>2</v>
      </c>
      <c r="J19" s="72">
        <f t="shared" si="3"/>
        <v>1</v>
      </c>
    </row>
    <row r="20" spans="1:11">
      <c r="A20" s="72" t="s">
        <v>42</v>
      </c>
      <c r="B20" s="72" t="s">
        <v>12</v>
      </c>
      <c r="C20" s="92">
        <v>15</v>
      </c>
      <c r="D20" s="92">
        <v>19</v>
      </c>
      <c r="E20" s="73">
        <v>34098.404000000002</v>
      </c>
      <c r="F20" s="73">
        <f>E20*PhysicsConstants!$B$2*100</f>
        <v>1022244434903703.4</v>
      </c>
      <c r="G20" s="72">
        <f t="shared" si="2"/>
        <v>0</v>
      </c>
      <c r="H20" s="72">
        <f t="shared" si="0"/>
        <v>1</v>
      </c>
      <c r="I20" s="72">
        <f t="shared" si="4"/>
        <v>1</v>
      </c>
      <c r="J20" s="72">
        <f t="shared" si="3"/>
        <v>1</v>
      </c>
    </row>
    <row r="21" spans="1:11">
      <c r="A21" s="72" t="s">
        <v>15</v>
      </c>
      <c r="B21" s="72" t="s">
        <v>8</v>
      </c>
      <c r="C21" s="92">
        <v>16</v>
      </c>
      <c r="D21" s="92">
        <v>20</v>
      </c>
      <c r="E21" s="73">
        <v>35006.908000000003</v>
      </c>
      <c r="F21" s="73">
        <f>E21*PhysicsConstants!$B$2*100</f>
        <v>1049480699629986.5</v>
      </c>
      <c r="G21" s="72">
        <f t="shared" si="2"/>
        <v>1</v>
      </c>
      <c r="H21" s="72">
        <f t="shared" si="0"/>
        <v>2</v>
      </c>
      <c r="I21" s="72">
        <f t="shared" si="4"/>
        <v>1</v>
      </c>
      <c r="J21" s="72">
        <f t="shared" si="3"/>
        <v>0.5</v>
      </c>
    </row>
    <row r="22" spans="1:11">
      <c r="A22" s="72" t="s">
        <v>15</v>
      </c>
      <c r="B22" s="72" t="s">
        <v>9</v>
      </c>
      <c r="C22" s="92">
        <v>17</v>
      </c>
      <c r="D22" s="92">
        <v>21</v>
      </c>
      <c r="E22" s="73">
        <v>35021.989000000001</v>
      </c>
      <c r="F22" s="73">
        <f>E22*PhysicsConstants!$B$2*100</f>
        <v>1049932816635896.2</v>
      </c>
      <c r="G22" s="72">
        <f t="shared" si="2"/>
        <v>1</v>
      </c>
      <c r="H22" s="72">
        <f t="shared" si="0"/>
        <v>2</v>
      </c>
      <c r="I22" s="72">
        <f t="shared" si="4"/>
        <v>2</v>
      </c>
      <c r="J22" s="72">
        <f t="shared" si="3"/>
        <v>1.1666666666666667</v>
      </c>
    </row>
    <row r="23" spans="1:11">
      <c r="A23" s="72" t="s">
        <v>15</v>
      </c>
      <c r="B23" s="72" t="s">
        <v>10</v>
      </c>
      <c r="C23" s="92">
        <v>18</v>
      </c>
      <c r="D23" s="92">
        <v>22</v>
      </c>
      <c r="E23" s="73">
        <v>35045.019</v>
      </c>
      <c r="F23" s="73">
        <f>E23*PhysicsConstants!$B$2*100</f>
        <v>1050623238666670.1</v>
      </c>
      <c r="G23" s="72">
        <f t="shared" si="2"/>
        <v>1</v>
      </c>
      <c r="H23" s="72">
        <f t="shared" si="0"/>
        <v>2</v>
      </c>
      <c r="I23" s="72">
        <f t="shared" si="4"/>
        <v>3</v>
      </c>
      <c r="J23" s="72">
        <f t="shared" si="3"/>
        <v>1.3333333333333333</v>
      </c>
      <c r="K23" s="72">
        <f>J23*PhysicsConstants!$B$3/PhysicsConstants!$B$4</f>
        <v>117254668129.23814</v>
      </c>
    </row>
    <row r="24" spans="1:11">
      <c r="A24" s="72" t="s">
        <v>42</v>
      </c>
      <c r="B24" s="72" t="s">
        <v>8</v>
      </c>
      <c r="C24" s="92"/>
      <c r="D24" s="92">
        <v>23</v>
      </c>
      <c r="E24" s="73">
        <v>36264.150999999998</v>
      </c>
      <c r="F24" s="73">
        <f>E24*PhysicsConstants!$B$2*100</f>
        <v>1087171896557315.9</v>
      </c>
      <c r="G24" s="72">
        <f t="shared" si="2"/>
        <v>1</v>
      </c>
      <c r="H24" s="72">
        <f t="shared" si="0"/>
        <v>2</v>
      </c>
      <c r="I24" s="72">
        <f t="shared" si="4"/>
        <v>1</v>
      </c>
      <c r="J24" s="72">
        <f t="shared" si="3"/>
        <v>0.5</v>
      </c>
    </row>
    <row r="25" spans="1:11">
      <c r="A25" s="72" t="s">
        <v>42</v>
      </c>
      <c r="B25" s="72" t="s">
        <v>9</v>
      </c>
      <c r="C25" s="92"/>
      <c r="D25" s="92">
        <v>24</v>
      </c>
      <c r="E25" s="73">
        <v>36381.745999999999</v>
      </c>
      <c r="F25" s="73">
        <f>E25*PhysicsConstants!$B$2*100</f>
        <v>1090697305967166.8</v>
      </c>
      <c r="G25" s="72">
        <f t="shared" si="2"/>
        <v>1</v>
      </c>
      <c r="H25" s="72">
        <f t="shared" si="0"/>
        <v>2</v>
      </c>
      <c r="I25" s="72">
        <f t="shared" si="4"/>
        <v>2</v>
      </c>
      <c r="J25" s="72">
        <f t="shared" si="3"/>
        <v>1.1666666666666667</v>
      </c>
    </row>
    <row r="26" spans="1:11">
      <c r="A26" s="72" t="s">
        <v>42</v>
      </c>
      <c r="B26" s="72" t="s">
        <v>10</v>
      </c>
      <c r="C26" s="92"/>
      <c r="D26" s="92">
        <v>25</v>
      </c>
      <c r="E26" s="73">
        <v>36559.491999999998</v>
      </c>
      <c r="F26" s="73">
        <f>E26*PhysicsConstants!$B$2*100</f>
        <v>1096025996991133.6</v>
      </c>
      <c r="G26" s="72">
        <f t="shared" si="2"/>
        <v>1</v>
      </c>
      <c r="H26" s="72">
        <f t="shared" si="0"/>
        <v>2</v>
      </c>
      <c r="I26" s="72">
        <f t="shared" si="4"/>
        <v>3</v>
      </c>
      <c r="J26" s="72">
        <f t="shared" si="3"/>
        <v>1.3333333333333333</v>
      </c>
    </row>
    <row r="27" spans="1:11">
      <c r="A27" s="72" t="s">
        <v>42</v>
      </c>
      <c r="B27" s="72" t="s">
        <v>6</v>
      </c>
      <c r="C27" s="92"/>
      <c r="D27" s="92">
        <v>26</v>
      </c>
      <c r="E27" s="73">
        <v>37292.074000000001</v>
      </c>
      <c r="F27" s="73">
        <f>E27*PhysicsConstants!$B$2*100</f>
        <v>1117988252837789.2</v>
      </c>
      <c r="G27" s="72">
        <f t="shared" si="2"/>
        <v>1</v>
      </c>
      <c r="H27" s="72">
        <f t="shared" si="0"/>
        <v>1</v>
      </c>
      <c r="I27" s="72">
        <f t="shared" si="4"/>
        <v>0</v>
      </c>
      <c r="J27" s="72">
        <f t="shared" si="3"/>
        <v>0</v>
      </c>
    </row>
    <row r="28" spans="1:11">
      <c r="A28" s="72" t="s">
        <v>42</v>
      </c>
      <c r="B28" s="72" t="s">
        <v>5</v>
      </c>
      <c r="C28" s="92"/>
      <c r="D28" s="92">
        <v>27</v>
      </c>
      <c r="E28" s="73">
        <v>37302.731</v>
      </c>
      <c r="F28" s="73">
        <f>E28*PhysicsConstants!$B$2*100</f>
        <v>1118307741660279.9</v>
      </c>
      <c r="G28" s="72">
        <f t="shared" si="2"/>
        <v>1</v>
      </c>
      <c r="H28" s="72">
        <f t="shared" si="0"/>
        <v>1</v>
      </c>
      <c r="I28" s="72">
        <f t="shared" si="4"/>
        <v>1</v>
      </c>
      <c r="J28" s="72">
        <f t="shared" si="3"/>
        <v>1.5</v>
      </c>
    </row>
    <row r="29" spans="1:11">
      <c r="A29" s="72" t="s">
        <v>42</v>
      </c>
      <c r="B29" s="72" t="s">
        <v>4</v>
      </c>
      <c r="C29" s="92"/>
      <c r="D29" s="92">
        <v>28</v>
      </c>
      <c r="E29" s="73">
        <v>37336.591</v>
      </c>
      <c r="F29" s="73">
        <f>E29*PhysicsConstants!$B$2*100</f>
        <v>1119322838923067.8</v>
      </c>
      <c r="G29" s="72">
        <f t="shared" si="2"/>
        <v>1</v>
      </c>
      <c r="H29" s="72">
        <f t="shared" si="0"/>
        <v>1</v>
      </c>
      <c r="I29" s="72">
        <f t="shared" si="4"/>
        <v>2</v>
      </c>
      <c r="J29" s="72">
        <f t="shared" si="3"/>
        <v>1.5</v>
      </c>
    </row>
    <row r="30" spans="1:11">
      <c r="A30" s="72" t="s">
        <v>42</v>
      </c>
      <c r="B30" s="72" t="s">
        <v>46</v>
      </c>
      <c r="C30" s="92"/>
      <c r="D30" s="92">
        <v>29</v>
      </c>
      <c r="E30" s="73">
        <v>38007.741999999998</v>
      </c>
      <c r="F30" s="73">
        <f>E30*PhysicsConstants!$B$2*100</f>
        <v>1139443439720983.5</v>
      </c>
      <c r="G30" s="72">
        <f t="shared" si="2"/>
        <v>0</v>
      </c>
      <c r="H30" s="72">
        <f t="shared" si="0"/>
        <v>3</v>
      </c>
      <c r="I30" s="72">
        <f t="shared" si="4"/>
        <v>3</v>
      </c>
      <c r="J30" s="72">
        <f t="shared" si="3"/>
        <v>1</v>
      </c>
    </row>
    <row r="31" spans="1:11">
      <c r="A31" s="72" t="s">
        <v>42</v>
      </c>
      <c r="B31" s="72" t="s">
        <v>12</v>
      </c>
      <c r="C31" s="92"/>
      <c r="D31" s="92">
        <v>30</v>
      </c>
      <c r="E31" s="73">
        <v>41172.053999999996</v>
      </c>
      <c r="F31" s="73">
        <f>E31*PhysicsConstants!$B$2*100</f>
        <v>1234307126956873</v>
      </c>
      <c r="G31" s="72">
        <f t="shared" si="2"/>
        <v>0</v>
      </c>
      <c r="H31" s="72">
        <f t="shared" si="0"/>
        <v>1</v>
      </c>
      <c r="I31" s="72">
        <f t="shared" si="4"/>
        <v>1</v>
      </c>
      <c r="J31" s="72">
        <f t="shared" si="3"/>
        <v>1</v>
      </c>
    </row>
    <row r="32" spans="1:11">
      <c r="A32" s="72" t="s">
        <v>15</v>
      </c>
      <c r="B32" s="72" t="s">
        <v>47</v>
      </c>
      <c r="C32" s="92"/>
      <c r="D32" s="92">
        <v>31</v>
      </c>
      <c r="E32" s="73">
        <v>34727.447</v>
      </c>
      <c r="F32" s="73">
        <f>E32*PhysicsConstants!$B$2*100</f>
        <v>1041102669619472.6</v>
      </c>
      <c r="G32" s="72">
        <f t="shared" si="2"/>
        <v>0</v>
      </c>
      <c r="H32" s="72">
        <f t="shared" si="0"/>
        <v>2</v>
      </c>
      <c r="I32" s="72">
        <f t="shared" si="4"/>
        <v>1</v>
      </c>
      <c r="J32" s="72">
        <f>IF(I32=0,0,1.5+(-H32*(H32+1)+G32*(G32+1))/(2*I32*(I32+1)))</f>
        <v>0</v>
      </c>
    </row>
    <row r="33" spans="1:10">
      <c r="A33" s="72" t="s">
        <v>48</v>
      </c>
      <c r="B33" s="72" t="s">
        <v>6</v>
      </c>
      <c r="C33" s="92">
        <v>19</v>
      </c>
      <c r="D33" s="92">
        <v>32</v>
      </c>
      <c r="E33" s="75">
        <v>35193.442000000003</v>
      </c>
      <c r="F33" s="73">
        <f>E33*PhysicsConstants!$B$2*100</f>
        <v>1055072848266043.8</v>
      </c>
      <c r="G33" s="72">
        <f t="shared" si="2"/>
        <v>1</v>
      </c>
      <c r="H33" s="72">
        <f t="shared" si="0"/>
        <v>1</v>
      </c>
      <c r="I33" s="72">
        <f t="shared" si="4"/>
        <v>0</v>
      </c>
      <c r="J33" s="72">
        <f>IF(I33=0,0,1.5+(-H33*(H33+1)+G33*(G33+1))/(2*I33*(I33+1)))</f>
        <v>0</v>
      </c>
    </row>
    <row r="34" spans="1:10">
      <c r="A34" s="72" t="s">
        <v>48</v>
      </c>
      <c r="B34" s="72" t="s">
        <v>5</v>
      </c>
      <c r="C34" s="92">
        <v>20</v>
      </c>
      <c r="D34" s="92">
        <v>33</v>
      </c>
      <c r="E34" s="75">
        <v>35400.105000000003</v>
      </c>
      <c r="F34" s="73">
        <f>E34*PhysicsConstants!$B$2*100</f>
        <v>1061268449140809.1</v>
      </c>
      <c r="G34" s="72">
        <f t="shared" si="2"/>
        <v>1</v>
      </c>
      <c r="H34" s="72">
        <f t="shared" si="0"/>
        <v>1</v>
      </c>
      <c r="I34" s="72">
        <f t="shared" si="4"/>
        <v>1</v>
      </c>
      <c r="J34" s="72">
        <f t="shared" si="3"/>
        <v>1.5</v>
      </c>
    </row>
    <row r="35" spans="1:10">
      <c r="A35" s="72" t="s">
        <v>48</v>
      </c>
      <c r="B35" s="72" t="s">
        <v>4</v>
      </c>
      <c r="C35" s="92">
        <v>21</v>
      </c>
      <c r="D35" s="92">
        <v>34</v>
      </c>
      <c r="E35" s="75">
        <v>35674.637000000002</v>
      </c>
      <c r="F35" s="73">
        <f>E35*PhysicsConstants!$B$2*100</f>
        <v>1069498711448774.6</v>
      </c>
      <c r="G35" s="72">
        <f t="shared" si="2"/>
        <v>1</v>
      </c>
      <c r="H35" s="72">
        <f>IF(MID(B35,2,1)="S",0,IF(MID(B35,2,1)="P",1,IF(MID(B35,2,1)="D",2,3)))</f>
        <v>1</v>
      </c>
      <c r="I35" s="72">
        <f t="shared" si="4"/>
        <v>2</v>
      </c>
      <c r="J35" s="72">
        <f t="shared" si="3"/>
        <v>1.5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1FAF-3AE0-AB4E-AFDC-4299037B6684}">
  <dimension ref="A1:Z15"/>
  <sheetViews>
    <sheetView topLeftCell="C1" zoomScale="108" workbookViewId="0">
      <selection activeCell="M8" sqref="M8"/>
    </sheetView>
  </sheetViews>
  <sheetFormatPr baseColWidth="10" defaultRowHeight="20"/>
  <cols>
    <col min="2" max="3" width="5.5703125" customWidth="1"/>
    <col min="4" max="4" width="4.7109375" customWidth="1"/>
    <col min="5" max="5" width="4" customWidth="1"/>
    <col min="6" max="6" width="3.28515625" customWidth="1"/>
    <col min="7" max="7" width="4.85546875" customWidth="1"/>
    <col min="8" max="8" width="3.140625" customWidth="1"/>
    <col min="9" max="9" width="3.85546875" customWidth="1"/>
    <col min="10" max="10" width="25.42578125" customWidth="1"/>
    <col min="11" max="11" width="11.7109375" bestFit="1" customWidth="1"/>
    <col min="14" max="14" width="10" customWidth="1"/>
    <col min="15" max="15" width="3" customWidth="1"/>
    <col min="16" max="16" width="11.140625" bestFit="1" customWidth="1"/>
    <col min="18" max="18" width="10" customWidth="1"/>
    <col min="21" max="21" width="6.42578125" style="95" customWidth="1"/>
    <col min="22" max="26" width="6.42578125" customWidth="1"/>
  </cols>
  <sheetData>
    <row r="1" spans="1:26">
      <c r="A1" t="s">
        <v>157</v>
      </c>
      <c r="G1" t="s">
        <v>63</v>
      </c>
      <c r="H1" t="s">
        <v>59</v>
      </c>
      <c r="I1" t="s">
        <v>60</v>
      </c>
      <c r="J1" t="s">
        <v>159</v>
      </c>
      <c r="K1" t="s">
        <v>162</v>
      </c>
      <c r="L1" t="s">
        <v>53</v>
      </c>
      <c r="M1" t="s">
        <v>160</v>
      </c>
      <c r="N1" t="s">
        <v>158</v>
      </c>
      <c r="R1" t="s">
        <v>156</v>
      </c>
      <c r="S1" t="s">
        <v>161</v>
      </c>
      <c r="T1" s="95" t="s">
        <v>107</v>
      </c>
    </row>
    <row r="2" spans="1:26">
      <c r="A2">
        <v>461</v>
      </c>
      <c r="B2" s="72" t="str">
        <f>LOOKUP(G2,sansonetti!$C$2:$C$35,sansonetti!$A$2:$A$35)</f>
        <v>5s5s</v>
      </c>
      <c r="C2" s="72" t="str">
        <f>LOOKUP(H2,sansonetti!$C$2:$C$35,sansonetti!$B$2:$B$35)</f>
        <v>1S0</v>
      </c>
      <c r="D2" s="72" t="s">
        <v>3</v>
      </c>
      <c r="E2" s="72" t="str">
        <f>LOOKUP(I2,sansonetti!$C$2:$C$35,sansonetti!$B$2:$B$35)</f>
        <v>1P1</v>
      </c>
      <c r="F2" s="83"/>
      <c r="G2" s="91">
        <v>1</v>
      </c>
      <c r="H2" s="92">
        <v>1</v>
      </c>
      <c r="I2" s="92">
        <v>9</v>
      </c>
      <c r="J2" s="90">
        <f>LOOKUP(I2,sansonetti!$C$2:$C$35,sansonetti!$F$2:$F$35) - LOOKUP(H2,sansonetti!$C$2:$C$35,sansonetti!$F$2:$F$35)</f>
        <v>650503225987501.62</v>
      </c>
      <c r="K2" s="77">
        <f>PhysicsConstants!$B$2/J2</f>
        <v>4.6086236935243122E-7</v>
      </c>
      <c r="L2" s="76">
        <f t="shared" ref="L2:L7" si="0">2*PI()/K2</f>
        <v>13633539.479494151</v>
      </c>
      <c r="M2" s="77">
        <f>Akatsuka2020!L4</f>
        <v>200000000</v>
      </c>
      <c r="N2" s="77">
        <f>M2/2/PI()</f>
        <v>31830988.618379068</v>
      </c>
      <c r="O2">
        <v>0</v>
      </c>
      <c r="P2">
        <v>1</v>
      </c>
      <c r="Q2" s="81">
        <f>(P2*LOOKUP(I2,sansonetti!$C$2:$C$35,sansonetti!$J$2:$J$35)-O2*LOOKUP(H2,sansonetti!$C$2:$C$35,sansonetti!$J$2:$J$35))*PhysicsConstants!$B$3/PhysicsConstants!$B$4/10000</f>
        <v>8794100.1096928623</v>
      </c>
      <c r="R2" s="82">
        <f t="shared" ref="R2:R6" si="1">Q2/2/PI()</f>
        <v>1399624.5025025981</v>
      </c>
      <c r="S2" s="88">
        <f>(PhysicsConstants!$B$4*driveTransition!L2)/PhysicsConstants!$B$5</f>
        <v>9.7607239684973559E-3</v>
      </c>
      <c r="T2" s="95" t="s">
        <v>108</v>
      </c>
      <c r="U2" s="95">
        <f>HEX2DEC(RIGHT(T2,2))</f>
        <v>221</v>
      </c>
      <c r="V2" s="95">
        <f>HEX2DEC(MID(T2,3,2))</f>
        <v>171</v>
      </c>
      <c r="W2" s="95">
        <f>HEX2DEC(LEFT(T2,2))</f>
        <v>157</v>
      </c>
      <c r="X2" s="96">
        <f>U2/256</f>
        <v>0.86328125</v>
      </c>
      <c r="Y2" s="96">
        <f t="shared" ref="Y2:Z10" si="2">V2/256</f>
        <v>0.66796875</v>
      </c>
      <c r="Z2" s="96">
        <f t="shared" si="2"/>
        <v>0.61328125</v>
      </c>
    </row>
    <row r="3" spans="1:26">
      <c r="A3">
        <v>689</v>
      </c>
      <c r="B3" s="72" t="str">
        <f>LOOKUP(G3,sansonetti!$C$2:$C$35,sansonetti!$A$2:$A$35)</f>
        <v>5s5p</v>
      </c>
      <c r="C3" s="72" t="str">
        <f>LOOKUP(H3,sansonetti!$C$2:$C$35,sansonetti!$B$2:$B$35)</f>
        <v>1S0</v>
      </c>
      <c r="D3" s="72" t="s">
        <v>2</v>
      </c>
      <c r="E3" s="72" t="str">
        <f>LOOKUP(I3,sansonetti!$C$2:$C$35,sansonetti!$B$2:$B$35)</f>
        <v>3P1</v>
      </c>
      <c r="F3" s="84"/>
      <c r="G3" s="91">
        <v>2</v>
      </c>
      <c r="H3" s="92">
        <v>1</v>
      </c>
      <c r="I3" s="92">
        <v>3</v>
      </c>
      <c r="J3" s="90">
        <f>LOOKUP(I3,sansonetti!$C$2:$C$35,sansonetti!$F$2:$F$35) - LOOKUP(H3,sansonetti!$C$2:$C$35,sansonetti!$F$2:$F$35)</f>
        <v>434828994151297.19</v>
      </c>
      <c r="K3" s="77">
        <f>PhysicsConstants!$B$2/J3</f>
        <v>6.8944909845567538E-7</v>
      </c>
      <c r="L3" s="76">
        <f t="shared" si="0"/>
        <v>9113341.8279225323</v>
      </c>
      <c r="M3" s="77">
        <f>Akatsuka2020!F4</f>
        <v>47000</v>
      </c>
      <c r="N3" s="77">
        <f t="shared" ref="N3:N7" si="3">M3/2/PI()</f>
        <v>7480.2823253190809</v>
      </c>
      <c r="O3">
        <v>0</v>
      </c>
      <c r="P3">
        <v>1</v>
      </c>
      <c r="Q3" s="81">
        <f>(P3*LOOKUP(I3,sansonetti!$C$2:$C$35,sansonetti!$J$2:$J$35)-O3*LOOKUP(H3,sansonetti!$C$2:$C$35,sansonetti!$J$2:$J$35))*PhysicsConstants!$B$3/PhysicsConstants!$B$4/10000</f>
        <v>13191150.164539292</v>
      </c>
      <c r="R3" s="82">
        <f t="shared" si="1"/>
        <v>2099436.7537538968</v>
      </c>
      <c r="S3" s="88">
        <f>(PhysicsConstants!$B$4*driveTransition!L3)/PhysicsConstants!$B$5</f>
        <v>6.5245576283917001E-3</v>
      </c>
      <c r="T3" s="95" t="s">
        <v>109</v>
      </c>
      <c r="U3" s="95">
        <f t="shared" ref="U3:U10" si="4">HEX2DEC(RIGHT(T3,2))</f>
        <v>136</v>
      </c>
      <c r="V3" s="95">
        <f t="shared" ref="V3:V10" si="5">HEX2DEC(MID(T3,3,2))</f>
        <v>139</v>
      </c>
      <c r="W3" s="95">
        <f t="shared" ref="W3:W10" si="6">HEX2DEC(LEFT(T3,2))</f>
        <v>229</v>
      </c>
      <c r="X3" s="96">
        <f t="shared" ref="X3:X10" si="7">U3/256</f>
        <v>0.53125</v>
      </c>
      <c r="Y3" s="96">
        <f>V3/256</f>
        <v>0.54296875</v>
      </c>
      <c r="Z3" s="96">
        <f t="shared" si="2"/>
        <v>0.89453125</v>
      </c>
    </row>
    <row r="4" spans="1:26">
      <c r="A4">
        <v>679</v>
      </c>
      <c r="B4" s="72" t="str">
        <f>LOOKUP(G4,sansonetti!$C$2:$C$35,sansonetti!$A$2:$A$35)</f>
        <v>5s5p</v>
      </c>
      <c r="C4" s="72" t="str">
        <f>LOOKUP(H4,sansonetti!$C$2:$C$35,sansonetti!$B$2:$B$35)</f>
        <v>3P0</v>
      </c>
      <c r="D4" s="72" t="s">
        <v>13</v>
      </c>
      <c r="E4" s="72" t="str">
        <f>LOOKUP(I4,sansonetti!$C$2:$C$35,sansonetti!$B$2:$B$35)</f>
        <v>3S1</v>
      </c>
      <c r="F4" s="84"/>
      <c r="G4" s="91">
        <v>3</v>
      </c>
      <c r="H4" s="92">
        <v>2</v>
      </c>
      <c r="I4" s="92">
        <v>10</v>
      </c>
      <c r="J4" s="90">
        <f>LOOKUP(I4,sansonetti!$C$2:$C$35,sansonetti!$F$2:$F$35) - LOOKUP(H4,sansonetti!$C$2:$C$35,sansonetti!$F$2:$F$35)</f>
        <v>441332451901182.75</v>
      </c>
      <c r="K4" s="77">
        <f>PhysicsConstants!$B$2/J4</f>
        <v>6.7928940350646482E-7</v>
      </c>
      <c r="L4" s="76">
        <f t="shared" si="0"/>
        <v>9249644.2234282382</v>
      </c>
      <c r="M4" s="77">
        <f>Akatsuka2020!M5</f>
        <v>8900000</v>
      </c>
      <c r="N4" s="77">
        <f t="shared" si="3"/>
        <v>1416478.9935178685</v>
      </c>
      <c r="O4">
        <v>0</v>
      </c>
      <c r="P4">
        <v>1</v>
      </c>
      <c r="Q4" s="81">
        <f>(P4*LOOKUP(I4,sansonetti!$C$2:$C$35,sansonetti!$J$2:$J$35)-O4*LOOKUP(H4,sansonetti!$C$2:$C$35,sansonetti!$J$2:$J$35))*PhysicsConstants!$B$3/PhysicsConstants!$B$4/10000</f>
        <v>17588200.219385725</v>
      </c>
      <c r="R4" s="82">
        <f t="shared" si="1"/>
        <v>2799249.0050051962</v>
      </c>
      <c r="S4" s="88">
        <f>(PhysicsConstants!$B$4*driveTransition!L4)/PhysicsConstants!$B$5</f>
        <v>6.6221412427405028E-3</v>
      </c>
      <c r="T4" s="95" t="s">
        <v>111</v>
      </c>
      <c r="U4" s="95">
        <f t="shared" si="4"/>
        <v>122</v>
      </c>
      <c r="V4" s="95">
        <f t="shared" si="5"/>
        <v>190</v>
      </c>
      <c r="W4" s="95">
        <f t="shared" si="6"/>
        <v>236</v>
      </c>
      <c r="X4" s="96">
        <f t="shared" ref="X4" si="8">U4/256</f>
        <v>0.4765625</v>
      </c>
      <c r="Y4" s="96">
        <f>V4/256</f>
        <v>0.7421875</v>
      </c>
      <c r="Z4" s="96">
        <f t="shared" ref="Z4" si="9">W4/256</f>
        <v>0.921875</v>
      </c>
    </row>
    <row r="5" spans="1:26">
      <c r="A5">
        <v>688</v>
      </c>
      <c r="B5" s="72" t="str">
        <f>LOOKUP(G5,sansonetti!$C$2:$C$35,sansonetti!$A$2:$A$35)</f>
        <v>5s5p</v>
      </c>
      <c r="C5" s="72" t="str">
        <f>LOOKUP(H5,sansonetti!$C$2:$C$35,sansonetti!$B$2:$B$35)</f>
        <v>3P1</v>
      </c>
      <c r="D5" s="72" t="s">
        <v>13</v>
      </c>
      <c r="E5" s="72" t="str">
        <f>LOOKUP(I5,sansonetti!$C$2:$C$35,sansonetti!$B$2:$B$35)</f>
        <v>3S1</v>
      </c>
      <c r="F5" s="84"/>
      <c r="G5" s="91">
        <v>4</v>
      </c>
      <c r="H5" s="92">
        <v>3</v>
      </c>
      <c r="I5" s="92">
        <v>10</v>
      </c>
      <c r="J5" s="90">
        <f>LOOKUP(I5,sansonetti!$C$2:$C$35,sansonetti!$F$2:$F$35) - LOOKUP(H5,sansonetti!$C$2:$C$35,sansonetti!$F$2:$F$35)</f>
        <v>435731519346106.19</v>
      </c>
      <c r="K5" s="77">
        <f>PhysicsConstants!$B$2/J5</f>
        <v>6.8802105124250071E-7</v>
      </c>
      <c r="L5" s="76">
        <f t="shared" si="0"/>
        <v>9132257.3572897948</v>
      </c>
      <c r="M5" s="77">
        <f>Akatsuka2020!M6</f>
        <v>27000000</v>
      </c>
      <c r="N5" s="77">
        <f t="shared" si="3"/>
        <v>4297183.4634811739</v>
      </c>
      <c r="O5">
        <v>1</v>
      </c>
      <c r="P5">
        <v>2</v>
      </c>
      <c r="Q5" s="81">
        <f>(P5*LOOKUP(I5,sansonetti!$C$2:$C$35,sansonetti!$J$2:$J$35)-O5*LOOKUP(H5,sansonetti!$C$2:$C$35,sansonetti!$J$2:$J$35))*PhysicsConstants!$B$3/PhysicsConstants!$B$4/10000</f>
        <v>21985250.274232157</v>
      </c>
      <c r="R5" s="82">
        <f t="shared" si="1"/>
        <v>3499061.2562564951</v>
      </c>
      <c r="S5" s="88">
        <f>(PhysicsConstants!$B$4*driveTransition!L5)/PhysicsConstants!$B$5</f>
        <v>6.5380999121947827E-3</v>
      </c>
      <c r="T5" s="95" t="s">
        <v>109</v>
      </c>
      <c r="U5" s="95">
        <f t="shared" si="4"/>
        <v>136</v>
      </c>
      <c r="V5" s="95">
        <f t="shared" si="5"/>
        <v>139</v>
      </c>
      <c r="W5" s="95">
        <f t="shared" si="6"/>
        <v>229</v>
      </c>
      <c r="X5" s="96">
        <f t="shared" si="7"/>
        <v>0.53125</v>
      </c>
      <c r="Y5" s="96">
        <f t="shared" si="2"/>
        <v>0.54296875</v>
      </c>
      <c r="Z5" s="96">
        <f t="shared" si="2"/>
        <v>0.89453125</v>
      </c>
    </row>
    <row r="6" spans="1:26">
      <c r="A6">
        <v>707</v>
      </c>
      <c r="B6" s="72" t="str">
        <f>LOOKUP(G6,sansonetti!$C$2:$C$35,sansonetti!$A$2:$A$35)</f>
        <v>5s4d</v>
      </c>
      <c r="C6" s="72" t="str">
        <f>LOOKUP(H6,sansonetti!$C$2:$C$35,sansonetti!$B$2:$B$35)</f>
        <v>3P2</v>
      </c>
      <c r="D6" s="72" t="s">
        <v>13</v>
      </c>
      <c r="E6" s="72" t="str">
        <f>LOOKUP(I6,sansonetti!$C$2:$C$35,sansonetti!$B$2:$B$35)</f>
        <v>3S1</v>
      </c>
      <c r="F6" s="84"/>
      <c r="G6" s="91">
        <v>5</v>
      </c>
      <c r="H6" s="92">
        <v>4</v>
      </c>
      <c r="I6" s="92">
        <v>10</v>
      </c>
      <c r="J6" s="90">
        <f>LOOKUP(I6,sansonetti!$C$2:$C$35,sansonetti!$F$2:$F$35) - LOOKUP(H6,sansonetti!$C$2:$C$35,sansonetti!$F$2:$F$35)</f>
        <v>423913370880042.31</v>
      </c>
      <c r="K6" s="77">
        <f>PhysicsConstants!$B$2/J6</f>
        <v>7.0720217524073887E-7</v>
      </c>
      <c r="L6" s="76">
        <f t="shared" si="0"/>
        <v>8884567.2809769362</v>
      </c>
      <c r="M6" s="77">
        <f>Akatsuka2020!M7</f>
        <v>42000000</v>
      </c>
      <c r="N6" s="77">
        <f t="shared" si="3"/>
        <v>6684507.6098596044</v>
      </c>
      <c r="O6">
        <v>2</v>
      </c>
      <c r="P6">
        <v>1</v>
      </c>
      <c r="Q6" s="81">
        <f>(P6*LOOKUP(I6,sansonetti!$C$2:$C$35,sansonetti!$J$2:$J$35)-O6*LOOKUP(H6,sansonetti!$C$2:$C$35,sansonetti!$J$2:$J$35))*PhysicsConstants!$B$3/PhysicsConstants!$B$4/10000</f>
        <v>-8794100.1096928623</v>
      </c>
      <c r="R6" s="82">
        <f t="shared" si="1"/>
        <v>-1399624.5025025981</v>
      </c>
      <c r="S6" s="88">
        <f>(PhysicsConstants!$B$4*driveTransition!L6)/PhysicsConstants!$B$5</f>
        <v>6.3607699922380353E-3</v>
      </c>
      <c r="T6" s="95" t="s">
        <v>109</v>
      </c>
      <c r="U6" s="95">
        <f t="shared" si="4"/>
        <v>136</v>
      </c>
      <c r="V6" s="95">
        <f t="shared" si="5"/>
        <v>139</v>
      </c>
      <c r="W6" s="95">
        <f t="shared" si="6"/>
        <v>229</v>
      </c>
      <c r="X6" s="96">
        <f t="shared" si="7"/>
        <v>0.53125</v>
      </c>
      <c r="Y6" s="96">
        <f t="shared" si="2"/>
        <v>0.54296875</v>
      </c>
      <c r="Z6" s="96">
        <f t="shared" si="2"/>
        <v>0.89453125</v>
      </c>
    </row>
    <row r="7" spans="1:26">
      <c r="A7">
        <v>496</v>
      </c>
      <c r="B7" s="72" t="str">
        <f>LOOKUP(G7,sansonetti!$C$2:$C$35,sansonetti!$A$2:$A$35)</f>
        <v>5s4d</v>
      </c>
      <c r="C7" s="72" t="str">
        <f>LOOKUP(H7,sansonetti!$C$2:$C$35,sansonetti!$B$2:$B$35)</f>
        <v>3P2</v>
      </c>
      <c r="D7" s="72" t="s">
        <v>15</v>
      </c>
      <c r="E7" s="72" t="str">
        <f>LOOKUP(I7,sansonetti!$C$2:$C$35,sansonetti!$B$2:$B$35)</f>
        <v>3D3</v>
      </c>
      <c r="F7" s="85"/>
      <c r="G7" s="91">
        <v>6</v>
      </c>
      <c r="H7" s="92">
        <v>4</v>
      </c>
      <c r="I7" s="92">
        <v>18</v>
      </c>
      <c r="J7" s="90">
        <f>LOOKUP(I7,sansonetti!$C$2:$C$35,sansonetti!$F$2:$F$35) - LOOKUP(H7,sansonetti!$C$2:$C$35,sansonetti!$F$2:$F$35)</f>
        <v>603976096049309</v>
      </c>
      <c r="K7" s="77">
        <f>PhysicsConstants!$B$2/J7</f>
        <v>4.9636477330971181E-7</v>
      </c>
      <c r="L7" s="76">
        <f t="shared" si="0"/>
        <v>12658402.942827551</v>
      </c>
      <c r="M7" s="77">
        <f>Akatsuka2020!U7</f>
        <v>61400000</v>
      </c>
      <c r="N7" s="77">
        <f t="shared" si="3"/>
        <v>9772113.5058423746</v>
      </c>
      <c r="O7">
        <v>2</v>
      </c>
      <c r="P7">
        <v>3</v>
      </c>
      <c r="Q7" s="81">
        <f>(P7*LOOKUP(I7,sansonetti!$C$2:$C$35,sansonetti!$J$2:$J$35)-O7*LOOKUP(H7,sansonetti!$C$2:$C$35,sansonetti!$J$2:$J$35))*PhysicsConstants!$B$3/PhysicsConstants!$B$4/10000</f>
        <v>8794100.1096928623</v>
      </c>
      <c r="R7" s="82">
        <f>Q7/2/PI()</f>
        <v>1399624.5025025981</v>
      </c>
      <c r="S7" s="88">
        <f>(PhysicsConstants!$B$4*driveTransition!L7)/PhysicsConstants!$B$5</f>
        <v>9.0625898867121354E-3</v>
      </c>
      <c r="T7" s="95" t="s">
        <v>110</v>
      </c>
      <c r="U7" s="95">
        <f t="shared" si="4"/>
        <v>152</v>
      </c>
      <c r="V7" s="95">
        <f t="shared" si="5"/>
        <v>174</v>
      </c>
      <c r="W7" s="95">
        <f t="shared" si="6"/>
        <v>112</v>
      </c>
      <c r="X7" s="96">
        <f t="shared" si="7"/>
        <v>0.59375</v>
      </c>
      <c r="Y7" s="96">
        <f t="shared" si="2"/>
        <v>0.6796875</v>
      </c>
      <c r="Z7" s="96">
        <f t="shared" si="2"/>
        <v>0.4375</v>
      </c>
    </row>
    <row r="8" spans="1:26">
      <c r="A8">
        <v>2923</v>
      </c>
      <c r="B8" s="72" t="str">
        <f>LOOKUP(G8,sansonetti!$C$2:$C$35,sansonetti!$A$2:$A$35)</f>
        <v>5s4d</v>
      </c>
      <c r="C8" s="72" t="str">
        <f>LOOKUP(H8,sansonetti!$C$2:$C$35,sansonetti!$B$2:$B$35)</f>
        <v>3P2</v>
      </c>
      <c r="D8" s="72" t="s">
        <v>64</v>
      </c>
      <c r="E8" s="72" t="str">
        <f>LOOKUP(I8,sansonetti!$C$2:$C$35,sansonetti!$B$2:$B$35)</f>
        <v>3D3</v>
      </c>
      <c r="F8" s="86"/>
      <c r="G8" s="91">
        <v>8</v>
      </c>
      <c r="H8" s="92">
        <v>4</v>
      </c>
      <c r="I8" s="92">
        <v>7</v>
      </c>
      <c r="J8" s="90">
        <f>LOOKUP(I8,sansonetti!$C$2:$C$35,sansonetti!$F$2:$F$35) - LOOKUP(H8,sansonetti!$C$2:$C$35,sansonetti!$F$2:$F$35)</f>
        <v>102550485775992.62</v>
      </c>
      <c r="K8" s="77">
        <f>PhysicsConstants!$B$2/J8</f>
        <v>2.9233645821518119E-6</v>
      </c>
      <c r="L8" s="76">
        <f t="shared" ref="L8" si="10">2*PI()/K8</f>
        <v>2149299.2511234088</v>
      </c>
      <c r="M8" s="77">
        <f>Akatsuka2020!Q10</f>
        <v>355000</v>
      </c>
      <c r="N8" s="77">
        <f t="shared" ref="N8" si="11">M8/2/PI()</f>
        <v>56500.004797622845</v>
      </c>
      <c r="O8">
        <v>2</v>
      </c>
      <c r="P8">
        <v>3</v>
      </c>
      <c r="Q8" s="81">
        <f>(P8*LOOKUP(I8,sansonetti!$C$2:$C$35,sansonetti!$J$2:$J$35)-O8*LOOKUP(H8,sansonetti!$C$2:$C$35,sansonetti!$J$2:$J$35))*PhysicsConstants!$B$3/PhysicsConstants!$B$4/10000</f>
        <v>8794100.1096928623</v>
      </c>
      <c r="R8" s="82">
        <f t="shared" ref="R8" si="12">Q8/2/PI()</f>
        <v>1399624.5025025981</v>
      </c>
      <c r="S8" s="88">
        <f>(PhysicsConstants!$B$4*driveTransition!L8)/PhysicsConstants!$B$5</f>
        <v>1.5387579100399576E-3</v>
      </c>
      <c r="T8" s="95" t="s">
        <v>113</v>
      </c>
      <c r="U8" s="95">
        <f t="shared" si="4"/>
        <v>163</v>
      </c>
      <c r="V8" s="95">
        <f t="shared" si="5"/>
        <v>191</v>
      </c>
      <c r="W8" s="95">
        <f t="shared" si="6"/>
        <v>255</v>
      </c>
      <c r="X8" s="96">
        <f t="shared" si="7"/>
        <v>0.63671875</v>
      </c>
      <c r="Y8" s="96">
        <f t="shared" si="2"/>
        <v>0.74609375</v>
      </c>
      <c r="Z8" s="96">
        <f t="shared" si="2"/>
        <v>0.99609375</v>
      </c>
    </row>
    <row r="9" spans="1:26">
      <c r="B9" s="72" t="str">
        <f>LOOKUP(G9,sansonetti!$C$2:$C$35,sansonetti!$A$2:$A$35)</f>
        <v>5s4d</v>
      </c>
      <c r="C9" s="72" t="str">
        <f>LOOKUP(H9,sansonetti!$C$2:$C$35,sansonetti!$B$2:$B$35)</f>
        <v>3P0</v>
      </c>
      <c r="D9" s="72" t="s">
        <v>15</v>
      </c>
      <c r="E9" s="72" t="str">
        <f>LOOKUP(I9,sansonetti!$C$2:$C$35,sansonetti!$B$2:$B$35)</f>
        <v>1P1</v>
      </c>
      <c r="F9" s="86"/>
      <c r="G9" s="91">
        <v>7</v>
      </c>
      <c r="H9" s="92">
        <v>2</v>
      </c>
      <c r="I9" s="92">
        <v>9</v>
      </c>
      <c r="J9" s="90">
        <f>LOOKUP(I9,sansonetti!$C$2:$C$35,sansonetti!$F$2:$F$35) - LOOKUP(H9,sansonetti!$C$2:$C$35,sansonetti!$F$2:$F$35)</f>
        <v>221275164391281</v>
      </c>
      <c r="K9" s="77">
        <f>PhysicsConstants!$B$2/J9</f>
        <v>1.354840064517484E-6</v>
      </c>
      <c r="L9" s="76">
        <f>2*PI()/K9</f>
        <v>4637584.5177100627</v>
      </c>
      <c r="M9" s="77">
        <f>Akatsuka2020!L5</f>
        <v>0</v>
      </c>
      <c r="N9" s="77">
        <f>M9/2/PI()</f>
        <v>0</v>
      </c>
      <c r="O9">
        <v>2</v>
      </c>
      <c r="P9">
        <v>3</v>
      </c>
      <c r="Q9" s="81">
        <f>(P9*LOOKUP(I9,sansonetti!$C$2:$C$35,sansonetti!$J$2:$J$35)-O9*LOOKUP(H9,sansonetti!$C$2:$C$35,sansonetti!$J$2:$J$35))*PhysicsConstants!$B$3/PhysicsConstants!$B$4/10000</f>
        <v>26382300.329078585</v>
      </c>
      <c r="R9" s="82">
        <f>Q9/2/PI()</f>
        <v>4198873.5075077936</v>
      </c>
      <c r="S9" s="88">
        <f>(PhysicsConstants!$B$4*driveTransition!L9)/PhysicsConstants!$B$5</f>
        <v>3.3202076706513768E-3</v>
      </c>
      <c r="T9" s="95" t="s">
        <v>113</v>
      </c>
      <c r="U9" s="95">
        <f>HEX2DEC(RIGHT(T9,2))</f>
        <v>163</v>
      </c>
      <c r="V9" s="95">
        <f>HEX2DEC(MID(T9,3,2))</f>
        <v>191</v>
      </c>
      <c r="W9" s="95">
        <f>HEX2DEC(LEFT(T9,2))</f>
        <v>255</v>
      </c>
      <c r="X9" s="96">
        <f>U9/256</f>
        <v>0.63671875</v>
      </c>
      <c r="Y9" s="96">
        <f>V9/256</f>
        <v>0.74609375</v>
      </c>
      <c r="Z9" s="96">
        <f>W9/256</f>
        <v>0.99609375</v>
      </c>
    </row>
    <row r="10" spans="1:26">
      <c r="B10" s="72" t="str">
        <f>LOOKUP(G10,sansonetti!$C$2:$C$35,sansonetti!$A$2:$A$35)</f>
        <v>5s5p</v>
      </c>
      <c r="C10" s="72" t="str">
        <f>LOOKUP(H10,sansonetti!$C$2:$C$35,sansonetti!$B$2:$B$35)</f>
        <v>1S0</v>
      </c>
      <c r="D10" s="72" t="s">
        <v>65</v>
      </c>
      <c r="E10" s="72" t="str">
        <f>LOOKUP(I10,sansonetti!$C$2:$C$35,sansonetti!$B$2:$B$35)</f>
        <v>1D2</v>
      </c>
      <c r="F10" s="93"/>
      <c r="G10" s="91">
        <v>9</v>
      </c>
      <c r="H10" s="92">
        <v>1</v>
      </c>
      <c r="I10" s="92">
        <v>8</v>
      </c>
      <c r="J10" s="90">
        <f>LOOKUP(I10,sansonetti!$C$2:$C$35,sansonetti!$F$2:$F$35) - LOOKUP(H10,sansonetti!$C$2:$C$35,sansonetti!$F$2:$F$35)</f>
        <v>604072359407573</v>
      </c>
      <c r="K10" s="77">
        <f>PhysicsConstants!$B$2/J10</f>
        <v>4.9628567394477878E-7</v>
      </c>
      <c r="L10" s="76">
        <f t="shared" ref="L10" si="13">2*PI()/K10</f>
        <v>12660420.473629691</v>
      </c>
      <c r="M10" s="77">
        <f>Akatsuka2020!L7</f>
        <v>0</v>
      </c>
      <c r="N10" s="77">
        <f t="shared" ref="N10" si="14">M10/2/PI()</f>
        <v>0</v>
      </c>
      <c r="O10">
        <v>2</v>
      </c>
      <c r="P10">
        <v>3</v>
      </c>
      <c r="Q10" s="81">
        <f>(P10*LOOKUP(I10,sansonetti!$C$2:$C$35,sansonetti!$J$2:$J$35)-O10*LOOKUP(H10,sansonetti!$C$2:$C$35,sansonetti!$J$2:$J$35))*PhysicsConstants!$B$3/PhysicsConstants!$B$4/10000</f>
        <v>26382300.329078585</v>
      </c>
      <c r="R10" s="82">
        <f t="shared" ref="R10" si="15">Q10/2/PI()</f>
        <v>4198873.5075077936</v>
      </c>
      <c r="S10" s="88">
        <f>(PhysicsConstants!$B$4*driveTransition!L10)/PhysicsConstants!$B$5</f>
        <v>9.0640343070174604E-3</v>
      </c>
      <c r="T10" s="95" t="s">
        <v>112</v>
      </c>
      <c r="U10" s="95">
        <f t="shared" si="4"/>
        <v>99</v>
      </c>
      <c r="V10" s="95">
        <f t="shared" si="5"/>
        <v>137</v>
      </c>
      <c r="W10" s="95">
        <f t="shared" si="6"/>
        <v>224</v>
      </c>
      <c r="X10" s="96">
        <f t="shared" si="7"/>
        <v>0.38671875</v>
      </c>
      <c r="Y10" s="96">
        <f t="shared" si="2"/>
        <v>0.53515625</v>
      </c>
      <c r="Z10" s="96">
        <f t="shared" si="2"/>
        <v>0.875</v>
      </c>
    </row>
    <row r="11" spans="1:26">
      <c r="X11" s="96">
        <f>U4/256</f>
        <v>0.4765625</v>
      </c>
      <c r="Y11" s="96">
        <f>V4/256</f>
        <v>0.7421875</v>
      </c>
      <c r="Z11" s="96">
        <f>W4/256</f>
        <v>0.921875</v>
      </c>
    </row>
    <row r="15" spans="1:26">
      <c r="E15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A256-5399-B44C-82B9-F029EF3A37E8}">
  <dimension ref="A1:V28"/>
  <sheetViews>
    <sheetView zoomScale="68" workbookViewId="0">
      <selection activeCell="L23" sqref="L23"/>
    </sheetView>
  </sheetViews>
  <sheetFormatPr baseColWidth="10" defaultRowHeight="20"/>
  <cols>
    <col min="1" max="1" width="6.7109375" customWidth="1"/>
    <col min="5" max="5" width="13" bestFit="1" customWidth="1"/>
    <col min="8" max="8" width="2.7109375" customWidth="1"/>
    <col min="10" max="10" width="13" bestFit="1" customWidth="1"/>
    <col min="13" max="13" width="2.42578125" customWidth="1"/>
    <col min="15" max="15" width="13" bestFit="1" customWidth="1"/>
    <col min="22" max="22" width="15.140625" customWidth="1"/>
  </cols>
  <sheetData>
    <row r="1" spans="1:22">
      <c r="C1" t="s">
        <v>72</v>
      </c>
      <c r="D1" t="s">
        <v>73</v>
      </c>
      <c r="E1" t="s">
        <v>150</v>
      </c>
      <c r="F1" t="s">
        <v>74</v>
      </c>
      <c r="G1" t="s">
        <v>75</v>
      </c>
      <c r="I1" t="s">
        <v>76</v>
      </c>
      <c r="J1" t="s">
        <v>151</v>
      </c>
      <c r="K1" t="s">
        <v>77</v>
      </c>
      <c r="L1" t="s">
        <v>78</v>
      </c>
      <c r="N1" t="s">
        <v>79</v>
      </c>
      <c r="O1" t="s">
        <v>152</v>
      </c>
      <c r="P1" t="s">
        <v>80</v>
      </c>
      <c r="Q1" t="s">
        <v>81</v>
      </c>
      <c r="R1" t="s">
        <v>50</v>
      </c>
      <c r="S1" t="s">
        <v>52</v>
      </c>
      <c r="T1" t="s">
        <v>51</v>
      </c>
      <c r="U1" t="s">
        <v>82</v>
      </c>
      <c r="V1" t="s">
        <v>103</v>
      </c>
    </row>
    <row r="2" spans="1:22">
      <c r="A2" t="s">
        <v>7</v>
      </c>
      <c r="B2" t="s">
        <v>11</v>
      </c>
      <c r="I2">
        <v>5645.32</v>
      </c>
      <c r="R2" s="72">
        <f>(INT(LEFT(B2,1))-1)/2</f>
        <v>0</v>
      </c>
      <c r="S2" s="72">
        <f>IF(MID(B2,2,1)="S",0,IF(MID(B2,2,1)="P",1,IF(MID(B2,2,1)="D",2,3)))</f>
        <v>2</v>
      </c>
      <c r="T2" s="72">
        <f>INT(RIGHT(B2,1))</f>
        <v>2</v>
      </c>
      <c r="U2" t="s">
        <v>105</v>
      </c>
      <c r="V2" t="s">
        <v>106</v>
      </c>
    </row>
    <row r="3" spans="1:22">
      <c r="A3" t="s">
        <v>83</v>
      </c>
      <c r="B3" t="s">
        <v>14</v>
      </c>
      <c r="C3">
        <v>85</v>
      </c>
      <c r="D3">
        <v>14721.275</v>
      </c>
      <c r="E3" s="96">
        <f>1/D3*10^7</f>
        <v>679.28898821603423</v>
      </c>
      <c r="F3" s="94">
        <v>10226000</v>
      </c>
      <c r="G3">
        <v>1.0828</v>
      </c>
      <c r="I3">
        <v>14534.444</v>
      </c>
      <c r="J3" s="96">
        <f>1/I3*10^7</f>
        <v>688.02081455609857</v>
      </c>
      <c r="K3" s="94">
        <v>29526000</v>
      </c>
      <c r="L3">
        <v>1.0421</v>
      </c>
      <c r="N3">
        <v>14140.232</v>
      </c>
      <c r="O3" s="96">
        <f>1/N3*10^7</f>
        <v>707.20197518682858</v>
      </c>
      <c r="P3" s="94">
        <v>45314000</v>
      </c>
      <c r="Q3">
        <v>0.95960000000000001</v>
      </c>
      <c r="R3" s="72">
        <f>(INT(LEFT(B3,1))-1)/2</f>
        <v>1</v>
      </c>
      <c r="S3" s="72">
        <f>IF(MID(B3,2,1)="S",0,IF(MID(B3,2,1)="P",1,IF(MID(B3,2,1)="D",2,3)))</f>
        <v>0</v>
      </c>
      <c r="T3" s="72">
        <f>INT(RIGHT(B3,1))</f>
        <v>1</v>
      </c>
      <c r="U3" t="s">
        <v>84</v>
      </c>
      <c r="V3" t="s">
        <v>104</v>
      </c>
    </row>
    <row r="4" spans="1:22">
      <c r="A4" t="s">
        <v>85</v>
      </c>
      <c r="B4" t="s">
        <v>86</v>
      </c>
      <c r="C4">
        <v>12</v>
      </c>
      <c r="D4">
        <v>23107.192999999999</v>
      </c>
      <c r="E4" s="96">
        <f t="shared" ref="E4:E23" si="0">1/D4*10^7</f>
        <v>432.76567603862577</v>
      </c>
      <c r="F4" s="94">
        <v>1402000</v>
      </c>
      <c r="G4">
        <v>1.0517000000000001</v>
      </c>
      <c r="I4">
        <v>22920.362000000001</v>
      </c>
      <c r="J4" s="96">
        <f t="shared" ref="J4:J27" si="1">1/I4*10^7</f>
        <v>436.29328367501347</v>
      </c>
      <c r="K4" s="94">
        <v>4106000</v>
      </c>
      <c r="L4">
        <v>1.0264</v>
      </c>
      <c r="N4">
        <v>22526.15</v>
      </c>
      <c r="O4" s="96">
        <f t="shared" ref="O4:O28" si="2">1/N4*10^7</f>
        <v>443.92850087564892</v>
      </c>
      <c r="P4" s="94">
        <v>6495000</v>
      </c>
      <c r="Q4">
        <v>0.97430000000000005</v>
      </c>
      <c r="R4" s="72">
        <f t="shared" ref="R4:R28" si="3">(INT(LEFT(B4,1))-1)/2</f>
        <v>1</v>
      </c>
      <c r="S4" s="72">
        <f t="shared" ref="S4:S28" si="4">IF(MID(B4,2,1)="S",0,IF(MID(B4,2,1)="P",1,IF(MID(B4,2,1)="D",2,3)))</f>
        <v>0</v>
      </c>
      <c r="T4" s="72">
        <f t="shared" ref="T4:T28" si="5">INT(RIGHT(B4,1))</f>
        <v>1</v>
      </c>
      <c r="U4" t="s">
        <v>60</v>
      </c>
      <c r="V4" t="s">
        <v>104</v>
      </c>
    </row>
    <row r="5" spans="1:22">
      <c r="A5" t="s">
        <v>87</v>
      </c>
      <c r="B5" t="s">
        <v>86</v>
      </c>
      <c r="C5">
        <v>8.2200000000000006</v>
      </c>
      <c r="D5">
        <v>26443.919999999998</v>
      </c>
      <c r="E5" s="96">
        <f t="shared" si="0"/>
        <v>378.15876012331006</v>
      </c>
      <c r="F5" s="94">
        <v>954000</v>
      </c>
      <c r="G5">
        <v>1.0449999999999999</v>
      </c>
      <c r="I5">
        <v>26257.089</v>
      </c>
      <c r="J5" s="96">
        <f t="shared" si="1"/>
        <v>380.84952981650025</v>
      </c>
      <c r="K5" s="94">
        <v>2803000</v>
      </c>
      <c r="L5">
        <v>1.0229999999999999</v>
      </c>
      <c r="N5">
        <v>25862.877</v>
      </c>
      <c r="O5" s="96">
        <f t="shared" si="2"/>
        <v>386.65458603078071</v>
      </c>
      <c r="P5" s="94">
        <v>4464000</v>
      </c>
      <c r="Q5">
        <v>0.97760000000000002</v>
      </c>
      <c r="R5" s="72">
        <f t="shared" si="3"/>
        <v>1</v>
      </c>
      <c r="S5" s="72">
        <f t="shared" si="4"/>
        <v>0</v>
      </c>
      <c r="T5" s="72">
        <f t="shared" si="5"/>
        <v>1</v>
      </c>
      <c r="U5" t="s">
        <v>88</v>
      </c>
      <c r="V5" t="s">
        <v>104</v>
      </c>
    </row>
    <row r="6" spans="1:22">
      <c r="A6" t="s">
        <v>89</v>
      </c>
      <c r="B6" t="s">
        <v>86</v>
      </c>
      <c r="C6">
        <v>4.53</v>
      </c>
      <c r="D6">
        <v>28133.68</v>
      </c>
      <c r="E6" s="96">
        <f t="shared" si="0"/>
        <v>355.4458570652684</v>
      </c>
      <c r="F6" s="94">
        <v>525000</v>
      </c>
      <c r="G6">
        <v>1.0422</v>
      </c>
      <c r="I6">
        <v>27946.848999999998</v>
      </c>
      <c r="J6" s="96">
        <f t="shared" si="1"/>
        <v>357.82209293076295</v>
      </c>
      <c r="K6" s="94">
        <v>1543000</v>
      </c>
      <c r="L6">
        <v>1.0216000000000001</v>
      </c>
      <c r="N6">
        <v>27552.636999999999</v>
      </c>
      <c r="O6" s="96">
        <f t="shared" si="2"/>
        <v>362.94166689017828</v>
      </c>
      <c r="P6" s="94">
        <v>2464000</v>
      </c>
      <c r="Q6">
        <v>0.97899999999999998</v>
      </c>
      <c r="R6" s="72">
        <f t="shared" si="3"/>
        <v>1</v>
      </c>
      <c r="S6" s="72">
        <f t="shared" si="4"/>
        <v>0</v>
      </c>
      <c r="T6" s="72">
        <f t="shared" si="5"/>
        <v>1</v>
      </c>
      <c r="U6" t="s">
        <v>88</v>
      </c>
      <c r="V6" t="s">
        <v>104</v>
      </c>
    </row>
    <row r="7" spans="1:22">
      <c r="A7" t="s">
        <v>90</v>
      </c>
      <c r="B7" t="s">
        <v>86</v>
      </c>
      <c r="C7">
        <v>2.77</v>
      </c>
      <c r="D7">
        <v>29110.080000000002</v>
      </c>
      <c r="E7" s="96">
        <f t="shared" si="0"/>
        <v>343.52361793578035</v>
      </c>
      <c r="F7" s="94">
        <v>320000</v>
      </c>
      <c r="G7">
        <v>1.0407999999999999</v>
      </c>
      <c r="I7">
        <v>28923.249</v>
      </c>
      <c r="J7" s="96">
        <f t="shared" si="1"/>
        <v>345.74262386635746</v>
      </c>
      <c r="K7" s="94">
        <v>943000</v>
      </c>
      <c r="L7">
        <v>1.0207999999999999</v>
      </c>
      <c r="N7">
        <v>28529.037</v>
      </c>
      <c r="O7" s="96">
        <f t="shared" si="2"/>
        <v>350.52006837805288</v>
      </c>
      <c r="P7" s="94">
        <v>1508000</v>
      </c>
      <c r="Q7">
        <v>0.97970000000000002</v>
      </c>
      <c r="R7" s="72">
        <f t="shared" si="3"/>
        <v>1</v>
      </c>
      <c r="S7" s="72">
        <f t="shared" si="4"/>
        <v>0</v>
      </c>
      <c r="T7" s="72">
        <f t="shared" si="5"/>
        <v>1</v>
      </c>
      <c r="U7" t="s">
        <v>88</v>
      </c>
      <c r="V7" t="s">
        <v>104</v>
      </c>
    </row>
    <row r="8" spans="1:22">
      <c r="A8" t="s">
        <v>91</v>
      </c>
      <c r="B8" t="s">
        <v>92</v>
      </c>
      <c r="C8">
        <v>120</v>
      </c>
      <c r="E8" s="96"/>
      <c r="F8" s="94">
        <v>0</v>
      </c>
      <c r="I8">
        <v>20689.118999999999</v>
      </c>
      <c r="J8" s="96">
        <f t="shared" si="1"/>
        <v>483.34585924127555</v>
      </c>
      <c r="K8" s="94">
        <v>117640000</v>
      </c>
      <c r="L8">
        <v>0.98029999999999995</v>
      </c>
      <c r="O8" s="96"/>
      <c r="P8" s="94">
        <v>0</v>
      </c>
      <c r="R8" s="72">
        <f t="shared" si="3"/>
        <v>1</v>
      </c>
      <c r="S8" s="72">
        <f t="shared" si="4"/>
        <v>1</v>
      </c>
      <c r="T8" s="72">
        <f t="shared" si="5"/>
        <v>0</v>
      </c>
      <c r="U8" t="s">
        <v>60</v>
      </c>
      <c r="V8" t="s">
        <v>104</v>
      </c>
    </row>
    <row r="9" spans="1:22">
      <c r="A9" t="s">
        <v>91</v>
      </c>
      <c r="B9" t="s">
        <v>93</v>
      </c>
      <c r="C9">
        <v>120</v>
      </c>
      <c r="D9">
        <v>21082.617999999999</v>
      </c>
      <c r="E9" s="96">
        <f t="shared" si="0"/>
        <v>474.32439367824242</v>
      </c>
      <c r="F9" s="94">
        <v>41492000</v>
      </c>
      <c r="G9">
        <v>1.0373000000000001</v>
      </c>
      <c r="I9">
        <v>20895.787</v>
      </c>
      <c r="J9" s="96">
        <f t="shared" si="1"/>
        <v>478.5653682247048</v>
      </c>
      <c r="K9" s="94">
        <v>30297000</v>
      </c>
      <c r="L9">
        <v>1.0099</v>
      </c>
      <c r="N9">
        <v>20501.575000000001</v>
      </c>
      <c r="O9" s="96">
        <f t="shared" si="2"/>
        <v>487.76740323609283</v>
      </c>
      <c r="P9" s="94">
        <v>47690000</v>
      </c>
      <c r="Q9">
        <v>0.95379999999999998</v>
      </c>
      <c r="R9" s="72">
        <f t="shared" si="3"/>
        <v>1</v>
      </c>
      <c r="S9" s="72">
        <f t="shared" si="4"/>
        <v>1</v>
      </c>
      <c r="T9" s="72">
        <f t="shared" si="5"/>
        <v>1</v>
      </c>
      <c r="U9" t="s">
        <v>60</v>
      </c>
      <c r="V9" t="s">
        <v>104</v>
      </c>
    </row>
    <row r="10" spans="1:22">
      <c r="A10" t="s">
        <v>91</v>
      </c>
      <c r="B10" t="s">
        <v>94</v>
      </c>
      <c r="C10">
        <v>120</v>
      </c>
      <c r="E10" s="96"/>
      <c r="F10" s="94">
        <v>0</v>
      </c>
      <c r="I10">
        <v>21170.316999999999</v>
      </c>
      <c r="J10" s="96">
        <f t="shared" si="1"/>
        <v>472.35948332752884</v>
      </c>
      <c r="K10" s="94">
        <v>31509000</v>
      </c>
      <c r="L10">
        <v>1.0503</v>
      </c>
      <c r="N10">
        <v>20776.105</v>
      </c>
      <c r="O10" s="96">
        <f t="shared" si="2"/>
        <v>481.32217275567297</v>
      </c>
      <c r="P10" s="94">
        <v>89343000</v>
      </c>
      <c r="Q10">
        <v>0.99270000000000003</v>
      </c>
      <c r="R10" s="72">
        <f t="shared" si="3"/>
        <v>1</v>
      </c>
      <c r="S10" s="72">
        <f t="shared" si="4"/>
        <v>1</v>
      </c>
      <c r="T10" s="72">
        <f t="shared" si="5"/>
        <v>2</v>
      </c>
      <c r="U10" t="s">
        <v>60</v>
      </c>
      <c r="V10" t="s">
        <v>104</v>
      </c>
    </row>
    <row r="11" spans="1:22">
      <c r="A11" t="s">
        <v>95</v>
      </c>
      <c r="B11" t="s">
        <v>96</v>
      </c>
      <c r="C11">
        <v>0.41199999999999998</v>
      </c>
      <c r="D11">
        <v>3841.5360000000001</v>
      </c>
      <c r="E11" s="96">
        <f t="shared" si="0"/>
        <v>2603.1254165000664</v>
      </c>
      <c r="F11" s="94">
        <v>290000</v>
      </c>
      <c r="G11">
        <v>1.266</v>
      </c>
      <c r="I11">
        <v>3654.7049999999999</v>
      </c>
      <c r="J11" s="96">
        <f t="shared" si="1"/>
        <v>2736.1989544983794</v>
      </c>
      <c r="K11" s="94">
        <v>187000</v>
      </c>
      <c r="L11">
        <v>1.0901000000000001</v>
      </c>
      <c r="N11">
        <v>3260.4929999999999</v>
      </c>
      <c r="O11" s="96">
        <f t="shared" si="2"/>
        <v>3067.0208462339901</v>
      </c>
      <c r="P11" s="94">
        <v>9000</v>
      </c>
      <c r="Q11">
        <v>0.77400000000000002</v>
      </c>
      <c r="R11" s="72">
        <f t="shared" si="3"/>
        <v>1</v>
      </c>
      <c r="S11" s="72">
        <f t="shared" si="4"/>
        <v>2</v>
      </c>
      <c r="T11" s="72">
        <f t="shared" si="5"/>
        <v>1</v>
      </c>
      <c r="U11" t="s">
        <v>97</v>
      </c>
      <c r="V11" t="s">
        <v>104</v>
      </c>
    </row>
    <row r="12" spans="1:22">
      <c r="A12" t="s">
        <v>95</v>
      </c>
      <c r="B12" t="s">
        <v>98</v>
      </c>
      <c r="C12">
        <v>0.41199999999999998</v>
      </c>
      <c r="E12" s="96"/>
      <c r="F12" s="94">
        <v>0</v>
      </c>
      <c r="I12">
        <v>3714.444</v>
      </c>
      <c r="J12" s="96">
        <f t="shared" si="1"/>
        <v>2692.1929634690955</v>
      </c>
      <c r="K12" s="94">
        <v>354000</v>
      </c>
      <c r="L12">
        <v>1.1444000000000001</v>
      </c>
      <c r="N12">
        <v>3320.232</v>
      </c>
      <c r="O12" s="96">
        <f t="shared" si="2"/>
        <v>3011.8377270022092</v>
      </c>
      <c r="P12" s="94">
        <v>84000</v>
      </c>
      <c r="Q12">
        <v>0.81740000000000002</v>
      </c>
      <c r="R12" s="72">
        <f t="shared" si="3"/>
        <v>1</v>
      </c>
      <c r="S12" s="72">
        <f t="shared" si="4"/>
        <v>2</v>
      </c>
      <c r="T12" s="72">
        <f t="shared" si="5"/>
        <v>2</v>
      </c>
      <c r="U12" t="s">
        <v>97</v>
      </c>
      <c r="V12" t="s">
        <v>104</v>
      </c>
    </row>
    <row r="13" spans="1:22">
      <c r="A13" t="s">
        <v>95</v>
      </c>
      <c r="B13" t="s">
        <v>99</v>
      </c>
      <c r="C13">
        <v>0.41199999999999998</v>
      </c>
      <c r="E13" s="96"/>
      <c r="F13" s="94">
        <v>0</v>
      </c>
      <c r="J13" s="96"/>
      <c r="K13" s="94">
        <v>0</v>
      </c>
      <c r="N13">
        <v>3420.7040000000002</v>
      </c>
      <c r="O13" s="96">
        <f t="shared" si="2"/>
        <v>2923.3748374603588</v>
      </c>
      <c r="P13" s="94">
        <v>368000</v>
      </c>
      <c r="Q13">
        <v>0.89380000000000004</v>
      </c>
      <c r="R13" s="72">
        <f t="shared" si="3"/>
        <v>1</v>
      </c>
      <c r="S13" s="72">
        <f t="shared" si="4"/>
        <v>2</v>
      </c>
      <c r="T13" s="72">
        <f t="shared" si="5"/>
        <v>3</v>
      </c>
      <c r="U13" t="s">
        <v>97</v>
      </c>
      <c r="V13" t="s">
        <v>104</v>
      </c>
    </row>
    <row r="14" spans="1:22">
      <c r="A14" t="s">
        <v>100</v>
      </c>
      <c r="B14" t="s">
        <v>96</v>
      </c>
      <c r="C14">
        <v>61</v>
      </c>
      <c r="D14">
        <v>20689.422999999999</v>
      </c>
      <c r="E14" s="96">
        <f t="shared" si="0"/>
        <v>483.33875719975373</v>
      </c>
      <c r="F14" s="94">
        <v>35732000</v>
      </c>
      <c r="G14">
        <v>1.0544</v>
      </c>
      <c r="I14">
        <v>20502.592000000001</v>
      </c>
      <c r="J14" s="96">
        <f t="shared" si="1"/>
        <v>487.74320827337345</v>
      </c>
      <c r="K14" s="94">
        <v>26080000</v>
      </c>
      <c r="L14">
        <v>1.0261</v>
      </c>
      <c r="N14">
        <v>20108.38</v>
      </c>
      <c r="O14" s="96">
        <f t="shared" si="2"/>
        <v>497.30510364335663</v>
      </c>
      <c r="P14" s="94">
        <v>1640000</v>
      </c>
      <c r="Q14">
        <v>0.96809999999999996</v>
      </c>
      <c r="R14" s="72">
        <f t="shared" si="3"/>
        <v>1</v>
      </c>
      <c r="S14" s="72">
        <f t="shared" si="4"/>
        <v>2</v>
      </c>
      <c r="T14" s="72">
        <f t="shared" si="5"/>
        <v>1</v>
      </c>
      <c r="U14" t="s">
        <v>59</v>
      </c>
      <c r="V14" t="s">
        <v>104</v>
      </c>
    </row>
    <row r="15" spans="1:22">
      <c r="A15" t="s">
        <v>100</v>
      </c>
      <c r="B15" t="s">
        <v>98</v>
      </c>
      <c r="C15">
        <v>61</v>
      </c>
      <c r="E15" s="96"/>
      <c r="F15" s="94">
        <v>0</v>
      </c>
      <c r="I15">
        <v>20517.664000000001</v>
      </c>
      <c r="J15" s="96">
        <f t="shared" si="1"/>
        <v>487.38491867300291</v>
      </c>
      <c r="K15" s="94">
        <v>47049000</v>
      </c>
      <c r="L15">
        <v>1.0284</v>
      </c>
      <c r="N15">
        <v>20123.452000000001</v>
      </c>
      <c r="O15" s="96">
        <f t="shared" si="2"/>
        <v>496.93263362568212</v>
      </c>
      <c r="P15" s="94">
        <v>14796000</v>
      </c>
      <c r="Q15">
        <v>0.97019999999999995</v>
      </c>
      <c r="R15" s="72">
        <f t="shared" si="3"/>
        <v>1</v>
      </c>
      <c r="S15" s="72">
        <f t="shared" si="4"/>
        <v>2</v>
      </c>
      <c r="T15" s="72">
        <f t="shared" si="5"/>
        <v>2</v>
      </c>
      <c r="U15" t="s">
        <v>59</v>
      </c>
      <c r="V15" t="s">
        <v>104</v>
      </c>
    </row>
    <row r="16" spans="1:22">
      <c r="A16" t="s">
        <v>100</v>
      </c>
      <c r="B16" t="s">
        <v>99</v>
      </c>
      <c r="C16">
        <v>61</v>
      </c>
      <c r="E16" s="96"/>
      <c r="F16" s="94">
        <v>0</v>
      </c>
      <c r="J16" s="96"/>
      <c r="K16" s="94">
        <v>0</v>
      </c>
      <c r="N16">
        <v>20146.491999999998</v>
      </c>
      <c r="O16" s="96">
        <f t="shared" si="2"/>
        <v>496.36432982972917</v>
      </c>
      <c r="P16" s="94">
        <v>59390000</v>
      </c>
      <c r="Q16">
        <v>0.97360000000000002</v>
      </c>
      <c r="R16" s="72">
        <f t="shared" si="3"/>
        <v>1</v>
      </c>
      <c r="S16" s="72">
        <f t="shared" si="4"/>
        <v>2</v>
      </c>
      <c r="T16" s="72">
        <f t="shared" si="5"/>
        <v>3</v>
      </c>
      <c r="U16" t="s">
        <v>59</v>
      </c>
      <c r="V16" t="s">
        <v>104</v>
      </c>
    </row>
    <row r="17" spans="1:22">
      <c r="A17" t="s">
        <v>64</v>
      </c>
      <c r="B17" t="s">
        <v>96</v>
      </c>
      <c r="C17">
        <v>24.62</v>
      </c>
      <c r="D17">
        <v>25368.383000000002</v>
      </c>
      <c r="E17" s="96">
        <f t="shared" si="0"/>
        <v>394.19146265648857</v>
      </c>
      <c r="F17" s="94">
        <v>14303000</v>
      </c>
      <c r="G17">
        <v>1.0457000000000001</v>
      </c>
      <c r="I17">
        <v>25181.552</v>
      </c>
      <c r="J17" s="96">
        <f t="shared" si="1"/>
        <v>397.11611103239386</v>
      </c>
      <c r="K17" s="94">
        <v>10492000</v>
      </c>
      <c r="L17">
        <v>1.0227999999999999</v>
      </c>
      <c r="N17">
        <v>24787.34</v>
      </c>
      <c r="O17" s="96">
        <f t="shared" si="2"/>
        <v>403.43175185397064</v>
      </c>
      <c r="P17" s="94">
        <v>667000</v>
      </c>
      <c r="Q17">
        <v>0.97550000000000003</v>
      </c>
      <c r="R17" s="72">
        <f t="shared" si="3"/>
        <v>1</v>
      </c>
      <c r="S17" s="72">
        <f t="shared" si="4"/>
        <v>2</v>
      </c>
      <c r="T17" s="72">
        <f t="shared" si="5"/>
        <v>1</v>
      </c>
      <c r="U17" t="s">
        <v>97</v>
      </c>
      <c r="V17" t="s">
        <v>104</v>
      </c>
    </row>
    <row r="18" spans="1:22">
      <c r="A18" t="s">
        <v>64</v>
      </c>
      <c r="B18" t="s">
        <v>98</v>
      </c>
      <c r="C18">
        <v>24.62</v>
      </c>
      <c r="E18" s="96"/>
      <c r="F18" s="94">
        <v>0</v>
      </c>
      <c r="G18">
        <v>25186.488000000001</v>
      </c>
      <c r="I18">
        <v>18.896999999999998</v>
      </c>
      <c r="J18" s="96">
        <f t="shared" si="1"/>
        <v>529184.52664444095</v>
      </c>
      <c r="K18" s="94">
        <v>1023400.0000000001</v>
      </c>
      <c r="N18">
        <v>24792.276000000002</v>
      </c>
      <c r="O18" s="96">
        <f t="shared" si="2"/>
        <v>403.35143090533512</v>
      </c>
      <c r="P18" s="94">
        <v>6008000</v>
      </c>
      <c r="Q18">
        <v>0.97609999999999997</v>
      </c>
      <c r="R18" s="72">
        <f t="shared" si="3"/>
        <v>1</v>
      </c>
      <c r="S18" s="72">
        <f t="shared" si="4"/>
        <v>2</v>
      </c>
      <c r="T18" s="72">
        <f t="shared" si="5"/>
        <v>2</v>
      </c>
      <c r="U18" t="s">
        <v>97</v>
      </c>
      <c r="V18" t="s">
        <v>104</v>
      </c>
    </row>
    <row r="19" spans="1:22">
      <c r="A19" t="s">
        <v>64</v>
      </c>
      <c r="B19" t="s">
        <v>99</v>
      </c>
      <c r="C19">
        <v>24.62</v>
      </c>
      <c r="E19" s="96"/>
      <c r="F19" s="94">
        <v>0</v>
      </c>
      <c r="J19" s="96"/>
      <c r="K19" s="94">
        <v>0</v>
      </c>
      <c r="N19">
        <v>24804.591</v>
      </c>
      <c r="O19" s="96">
        <f t="shared" si="2"/>
        <v>403.15117471600314</v>
      </c>
      <c r="P19" s="94">
        <v>24069000</v>
      </c>
      <c r="Q19">
        <v>0.97760000000000002</v>
      </c>
      <c r="R19" s="72">
        <f t="shared" si="3"/>
        <v>1</v>
      </c>
      <c r="S19" s="72">
        <f t="shared" si="4"/>
        <v>2</v>
      </c>
      <c r="T19" s="72">
        <f t="shared" si="5"/>
        <v>3</v>
      </c>
      <c r="U19" t="s">
        <v>97</v>
      </c>
      <c r="V19" t="s">
        <v>104</v>
      </c>
    </row>
    <row r="20" spans="1:22">
      <c r="A20" t="s">
        <v>65</v>
      </c>
      <c r="B20" t="s">
        <v>96</v>
      </c>
      <c r="C20">
        <v>14.2</v>
      </c>
      <c r="D20">
        <v>27546.880000000001</v>
      </c>
      <c r="E20" s="96">
        <f t="shared" si="0"/>
        <v>363.01751777333766</v>
      </c>
      <c r="F20" s="94">
        <v>8223000.0000000009</v>
      </c>
      <c r="G20">
        <v>1.0424</v>
      </c>
      <c r="I20">
        <v>27360.048999999999</v>
      </c>
      <c r="J20" s="96">
        <f t="shared" si="1"/>
        <v>365.4964214428125</v>
      </c>
      <c r="K20" s="94">
        <v>6043000</v>
      </c>
      <c r="L20">
        <v>1.0213000000000001</v>
      </c>
      <c r="N20">
        <v>26965.837</v>
      </c>
      <c r="O20" s="96">
        <f t="shared" si="2"/>
        <v>370.83959233306945</v>
      </c>
      <c r="P20" s="94">
        <v>386000</v>
      </c>
      <c r="Q20">
        <v>0.9778</v>
      </c>
      <c r="R20" s="72">
        <f t="shared" si="3"/>
        <v>1</v>
      </c>
      <c r="S20" s="72">
        <f t="shared" si="4"/>
        <v>2</v>
      </c>
      <c r="T20" s="72">
        <f t="shared" si="5"/>
        <v>1</v>
      </c>
      <c r="U20" t="s">
        <v>88</v>
      </c>
      <c r="V20" t="s">
        <v>104</v>
      </c>
    </row>
    <row r="21" spans="1:22">
      <c r="A21" t="s">
        <v>65</v>
      </c>
      <c r="B21" t="s">
        <v>98</v>
      </c>
      <c r="C21">
        <v>14.2</v>
      </c>
      <c r="E21" s="96"/>
      <c r="F21" s="94">
        <v>0</v>
      </c>
      <c r="G21">
        <v>27364.969000000001</v>
      </c>
      <c r="I21">
        <v>10.882999999999999</v>
      </c>
      <c r="J21" s="96">
        <f t="shared" si="1"/>
        <v>918864.28374529094</v>
      </c>
      <c r="K21" s="94">
        <v>1021900</v>
      </c>
      <c r="N21">
        <v>26970.757000000001</v>
      </c>
      <c r="O21" s="96">
        <f t="shared" si="2"/>
        <v>370.77194385014849</v>
      </c>
      <c r="P21" s="94">
        <v>3473000</v>
      </c>
      <c r="Q21">
        <v>0.97829999999999995</v>
      </c>
      <c r="R21" s="72">
        <f t="shared" si="3"/>
        <v>1</v>
      </c>
      <c r="S21" s="72">
        <f t="shared" si="4"/>
        <v>2</v>
      </c>
      <c r="T21" s="72">
        <f t="shared" si="5"/>
        <v>2</v>
      </c>
      <c r="U21" t="s">
        <v>88</v>
      </c>
      <c r="V21" t="s">
        <v>104</v>
      </c>
    </row>
    <row r="22" spans="1:22">
      <c r="A22" t="s">
        <v>65</v>
      </c>
      <c r="B22" t="s">
        <v>99</v>
      </c>
      <c r="C22">
        <v>14.2</v>
      </c>
      <c r="E22" s="96"/>
      <c r="F22" s="94">
        <v>0</v>
      </c>
      <c r="J22" s="96"/>
      <c r="K22" s="94">
        <v>0</v>
      </c>
      <c r="N22">
        <v>26976.337</v>
      </c>
      <c r="O22" s="96">
        <f t="shared" si="2"/>
        <v>370.69525043374125</v>
      </c>
      <c r="P22" s="94">
        <v>13902000</v>
      </c>
      <c r="Q22">
        <v>0.97899999999999998</v>
      </c>
      <c r="R22" s="72">
        <f t="shared" si="3"/>
        <v>1</v>
      </c>
      <c r="S22" s="72">
        <f t="shared" si="4"/>
        <v>2</v>
      </c>
      <c r="T22" s="72">
        <f t="shared" si="5"/>
        <v>3</v>
      </c>
      <c r="U22" t="s">
        <v>88</v>
      </c>
      <c r="V22" t="s">
        <v>104</v>
      </c>
    </row>
    <row r="23" spans="1:22">
      <c r="A23" t="s">
        <v>101</v>
      </c>
      <c r="B23" t="s">
        <v>96</v>
      </c>
      <c r="C23">
        <v>8.51</v>
      </c>
      <c r="D23">
        <v>28749.18</v>
      </c>
      <c r="E23" s="96">
        <f t="shared" si="0"/>
        <v>347.83600784439761</v>
      </c>
      <c r="F23" s="94">
        <v>4920000</v>
      </c>
      <c r="G23">
        <v>1.0407</v>
      </c>
      <c r="I23">
        <v>28562.348999999998</v>
      </c>
      <c r="J23" s="96">
        <f t="shared" si="1"/>
        <v>350.11126010679311</v>
      </c>
      <c r="K23" s="94">
        <v>3619000</v>
      </c>
      <c r="L23">
        <v>1.0206</v>
      </c>
      <c r="N23">
        <v>28168.136999999999</v>
      </c>
      <c r="O23" s="96">
        <f t="shared" si="2"/>
        <v>355.01105380167672</v>
      </c>
      <c r="P23" s="94">
        <v>231000</v>
      </c>
      <c r="Q23">
        <v>0.97889999999999999</v>
      </c>
      <c r="R23" s="72">
        <f t="shared" si="3"/>
        <v>1</v>
      </c>
      <c r="S23" s="72">
        <f t="shared" si="4"/>
        <v>2</v>
      </c>
      <c r="T23" s="72">
        <f t="shared" si="5"/>
        <v>1</v>
      </c>
      <c r="U23" t="s">
        <v>88</v>
      </c>
      <c r="V23" t="s">
        <v>104</v>
      </c>
    </row>
    <row r="24" spans="1:22">
      <c r="A24" t="s">
        <v>101</v>
      </c>
      <c r="B24" t="s">
        <v>98</v>
      </c>
      <c r="C24">
        <v>8.51</v>
      </c>
      <c r="E24" s="96"/>
      <c r="F24" s="94">
        <v>0</v>
      </c>
      <c r="I24">
        <v>28565.958999999999</v>
      </c>
      <c r="J24" s="96">
        <f t="shared" si="1"/>
        <v>350.06701507903171</v>
      </c>
      <c r="K24" s="94">
        <v>6517000</v>
      </c>
      <c r="L24">
        <v>1.0209999999999999</v>
      </c>
      <c r="N24">
        <v>28171.746999999999</v>
      </c>
      <c r="O24" s="96">
        <f t="shared" si="2"/>
        <v>354.96556177364505</v>
      </c>
      <c r="P24" s="94">
        <v>2083000.0000000002</v>
      </c>
      <c r="Q24">
        <v>0.97929999999999995</v>
      </c>
      <c r="R24" s="72">
        <f t="shared" si="3"/>
        <v>1</v>
      </c>
      <c r="S24" s="72">
        <f t="shared" si="4"/>
        <v>2</v>
      </c>
      <c r="T24" s="72">
        <f t="shared" si="5"/>
        <v>2</v>
      </c>
      <c r="U24" t="s">
        <v>88</v>
      </c>
      <c r="V24" t="s">
        <v>104</v>
      </c>
    </row>
    <row r="25" spans="1:22">
      <c r="A25" t="s">
        <v>101</v>
      </c>
      <c r="B25" t="s">
        <v>99</v>
      </c>
      <c r="C25">
        <v>8.51</v>
      </c>
      <c r="E25" s="96"/>
      <c r="F25" s="94">
        <v>0</v>
      </c>
      <c r="J25" s="96"/>
      <c r="K25" s="94">
        <v>0</v>
      </c>
      <c r="N25">
        <v>28176.206999999999</v>
      </c>
      <c r="O25" s="96">
        <f t="shared" si="2"/>
        <v>354.90937442360502</v>
      </c>
      <c r="P25" s="94">
        <v>8337000</v>
      </c>
      <c r="Q25">
        <v>0.97970000000000002</v>
      </c>
      <c r="R25" s="72">
        <f t="shared" si="3"/>
        <v>1</v>
      </c>
      <c r="S25" s="72">
        <f t="shared" si="4"/>
        <v>2</v>
      </c>
      <c r="T25" s="72">
        <f t="shared" si="5"/>
        <v>3</v>
      </c>
      <c r="U25" t="s">
        <v>88</v>
      </c>
      <c r="V25" t="s">
        <v>104</v>
      </c>
    </row>
    <row r="26" spans="1:22">
      <c r="A26" t="s">
        <v>102</v>
      </c>
      <c r="B26" t="s">
        <v>96</v>
      </c>
      <c r="C26">
        <v>5.51</v>
      </c>
      <c r="D26">
        <v>29490.28</v>
      </c>
      <c r="E26" s="96">
        <f>1/D26*10^7</f>
        <v>339.09477970368545</v>
      </c>
      <c r="F26" s="94">
        <v>3184000</v>
      </c>
      <c r="G26">
        <v>1.04</v>
      </c>
      <c r="I26">
        <v>29303.449000000001</v>
      </c>
      <c r="J26" s="96">
        <f t="shared" si="1"/>
        <v>341.25675786491888</v>
      </c>
      <c r="K26" s="94">
        <v>2342000</v>
      </c>
      <c r="L26">
        <v>1.0203</v>
      </c>
      <c r="N26">
        <v>28909.237000000001</v>
      </c>
      <c r="O26" s="96">
        <f t="shared" si="2"/>
        <v>345.91020164247158</v>
      </c>
      <c r="P26" s="94">
        <v>150000</v>
      </c>
      <c r="Q26">
        <v>0.97970000000000002</v>
      </c>
      <c r="R26" s="72">
        <f t="shared" si="3"/>
        <v>1</v>
      </c>
      <c r="S26" s="72">
        <f t="shared" si="4"/>
        <v>2</v>
      </c>
      <c r="T26" s="72">
        <f t="shared" si="5"/>
        <v>1</v>
      </c>
      <c r="U26" t="s">
        <v>88</v>
      </c>
      <c r="V26" t="s">
        <v>104</v>
      </c>
    </row>
    <row r="27" spans="1:22">
      <c r="A27" t="s">
        <v>102</v>
      </c>
      <c r="B27" t="s">
        <v>98</v>
      </c>
      <c r="C27">
        <v>5.51</v>
      </c>
      <c r="F27" s="94">
        <v>0</v>
      </c>
      <c r="I27">
        <v>29303.449000000001</v>
      </c>
      <c r="J27" s="96">
        <f t="shared" si="1"/>
        <v>341.25675786491888</v>
      </c>
      <c r="K27" s="94">
        <v>4216000</v>
      </c>
      <c r="L27">
        <v>1.0203</v>
      </c>
      <c r="N27">
        <v>28909.237000000001</v>
      </c>
      <c r="O27" s="96">
        <f t="shared" si="2"/>
        <v>345.91020164247158</v>
      </c>
      <c r="P27" s="94">
        <v>1350000</v>
      </c>
      <c r="Q27">
        <v>0.97970000000000002</v>
      </c>
      <c r="R27" s="72">
        <f t="shared" si="3"/>
        <v>1</v>
      </c>
      <c r="S27" s="72">
        <f t="shared" si="4"/>
        <v>2</v>
      </c>
      <c r="T27" s="72">
        <f t="shared" si="5"/>
        <v>2</v>
      </c>
      <c r="U27" t="s">
        <v>88</v>
      </c>
      <c r="V27" t="s">
        <v>104</v>
      </c>
    </row>
    <row r="28" spans="1:22">
      <c r="A28" t="s">
        <v>102</v>
      </c>
      <c r="B28" t="s">
        <v>99</v>
      </c>
      <c r="C28">
        <v>5.51</v>
      </c>
      <c r="F28" s="94">
        <v>0</v>
      </c>
      <c r="J28" s="96"/>
      <c r="K28" s="94">
        <v>0</v>
      </c>
      <c r="N28">
        <v>28914.037</v>
      </c>
      <c r="O28" s="96">
        <f t="shared" si="2"/>
        <v>345.85277732057961</v>
      </c>
      <c r="P28" s="94">
        <v>5401000</v>
      </c>
      <c r="Q28">
        <v>0.98019999999999996</v>
      </c>
      <c r="R28" s="72">
        <f t="shared" si="3"/>
        <v>1</v>
      </c>
      <c r="S28" s="72">
        <f t="shared" si="4"/>
        <v>2</v>
      </c>
      <c r="T28" s="72">
        <f t="shared" si="5"/>
        <v>3</v>
      </c>
      <c r="U28" t="s">
        <v>88</v>
      </c>
      <c r="V28" t="s">
        <v>104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BE66-6470-D745-9E50-3C7D6C99B9C4}">
  <dimension ref="A1:P29"/>
  <sheetViews>
    <sheetView workbookViewId="0">
      <selection activeCell="D5" sqref="D5:E5"/>
    </sheetView>
  </sheetViews>
  <sheetFormatPr baseColWidth="10" defaultRowHeight="20"/>
  <cols>
    <col min="6" max="8" width="2.85546875" customWidth="1"/>
    <col min="10" max="10" width="18.85546875" customWidth="1"/>
    <col min="11" max="11" width="2.5703125" customWidth="1"/>
    <col min="12" max="12" width="8.140625" customWidth="1"/>
    <col min="14" max="14" width="21.140625" customWidth="1"/>
  </cols>
  <sheetData>
    <row r="1" spans="1:16">
      <c r="C1" t="s">
        <v>153</v>
      </c>
      <c r="D1" t="s">
        <v>154</v>
      </c>
      <c r="E1" t="s">
        <v>155</v>
      </c>
      <c r="F1" t="s">
        <v>50</v>
      </c>
      <c r="G1" t="s">
        <v>52</v>
      </c>
      <c r="H1" t="s">
        <v>51</v>
      </c>
      <c r="I1" t="s">
        <v>82</v>
      </c>
      <c r="J1" t="s">
        <v>103</v>
      </c>
    </row>
    <row r="2" spans="1:16">
      <c r="A2" t="s">
        <v>123</v>
      </c>
      <c r="B2" t="s">
        <v>12</v>
      </c>
      <c r="C2">
        <v>23178.22</v>
      </c>
      <c r="D2" s="96">
        <f>1/C2*10^7</f>
        <v>431.43951520004555</v>
      </c>
      <c r="E2" t="s">
        <v>140</v>
      </c>
      <c r="F2" s="72">
        <f>(INT(LEFT(B2,1))-1)/2</f>
        <v>0</v>
      </c>
      <c r="G2" s="72">
        <f>IF(MID(B2,2,1)="S",0,IF(MID(B2,2,1)="P",1,IF(MID(B2,2,1)="D",2,3)))</f>
        <v>1</v>
      </c>
      <c r="H2" s="72">
        <f>INT(RIGHT(B2,1))</f>
        <v>1</v>
      </c>
      <c r="I2" s="98" t="s">
        <v>147</v>
      </c>
      <c r="J2" t="s">
        <v>106</v>
      </c>
      <c r="L2" s="99"/>
    </row>
    <row r="3" spans="1:16">
      <c r="A3" t="s">
        <v>125</v>
      </c>
      <c r="B3" t="s">
        <v>12</v>
      </c>
      <c r="C3">
        <v>22312.642</v>
      </c>
      <c r="D3" s="96">
        <f t="shared" ref="D3:D18" si="0">1/C3*10^7</f>
        <v>448.17641944866949</v>
      </c>
      <c r="E3" t="s">
        <v>134</v>
      </c>
      <c r="F3" s="72">
        <f t="shared" ref="F3:F18" si="1">(INT(LEFT(B3,1))-1)/2</f>
        <v>0</v>
      </c>
      <c r="G3" s="72">
        <f t="shared" ref="G3:G18" si="2">IF(MID(B3,2,1)="S",0,IF(MID(B3,2,1)="P",1,IF(MID(B3,2,1)="D",2,3)))</f>
        <v>1</v>
      </c>
      <c r="H3" s="72">
        <f t="shared" ref="H3:H18" si="3">INT(RIGHT(B3,1))</f>
        <v>1</v>
      </c>
      <c r="I3" s="98" t="s">
        <v>147</v>
      </c>
      <c r="J3" t="s">
        <v>106</v>
      </c>
      <c r="L3" s="99"/>
    </row>
    <row r="4" spans="1:16">
      <c r="A4" t="s">
        <v>124</v>
      </c>
      <c r="B4" t="s">
        <v>12</v>
      </c>
      <c r="C4">
        <v>18757.167000000001</v>
      </c>
      <c r="D4" s="96">
        <f t="shared" si="0"/>
        <v>533.12954989418176</v>
      </c>
      <c r="E4" t="s">
        <v>141</v>
      </c>
      <c r="F4" s="72">
        <f t="shared" si="1"/>
        <v>0</v>
      </c>
      <c r="G4" s="72">
        <f t="shared" si="2"/>
        <v>1</v>
      </c>
      <c r="H4" s="72">
        <f t="shared" si="3"/>
        <v>1</v>
      </c>
      <c r="I4" s="98" t="s">
        <v>147</v>
      </c>
      <c r="J4" t="s">
        <v>106</v>
      </c>
      <c r="L4" s="99"/>
    </row>
    <row r="5" spans="1:16">
      <c r="A5" t="s">
        <v>16</v>
      </c>
      <c r="B5" t="s">
        <v>12</v>
      </c>
      <c r="C5">
        <v>13948.716</v>
      </c>
      <c r="D5" s="96">
        <f t="shared" si="0"/>
        <v>716.91186486268703</v>
      </c>
      <c r="E5" t="s">
        <v>142</v>
      </c>
      <c r="F5" s="72">
        <f t="shared" si="1"/>
        <v>0</v>
      </c>
      <c r="G5" s="72">
        <f t="shared" si="2"/>
        <v>1</v>
      </c>
      <c r="H5" s="72">
        <f t="shared" si="3"/>
        <v>1</v>
      </c>
      <c r="I5" s="98" t="s">
        <v>147</v>
      </c>
      <c r="J5" t="s">
        <v>106</v>
      </c>
      <c r="L5" s="99"/>
    </row>
    <row r="6" spans="1:16">
      <c r="A6" t="s">
        <v>3</v>
      </c>
      <c r="B6" t="s">
        <v>12</v>
      </c>
      <c r="C6">
        <v>1548.7670000000001</v>
      </c>
      <c r="D6" s="96">
        <f t="shared" si="0"/>
        <v>6456.7491430279697</v>
      </c>
      <c r="E6" t="s">
        <v>143</v>
      </c>
      <c r="F6" s="72">
        <f t="shared" si="1"/>
        <v>0</v>
      </c>
      <c r="G6" s="72">
        <f t="shared" si="2"/>
        <v>1</v>
      </c>
      <c r="H6" s="72">
        <f t="shared" si="3"/>
        <v>1</v>
      </c>
      <c r="J6" t="s">
        <v>106</v>
      </c>
      <c r="L6" s="99"/>
    </row>
    <row r="7" spans="1:16">
      <c r="A7" t="s">
        <v>42</v>
      </c>
      <c r="B7" t="s">
        <v>12</v>
      </c>
      <c r="C7">
        <v>21022.425999999999</v>
      </c>
      <c r="D7" s="96">
        <f t="shared" si="0"/>
        <v>475.68249259148303</v>
      </c>
      <c r="E7" t="s">
        <v>130</v>
      </c>
      <c r="F7" s="72">
        <f t="shared" si="1"/>
        <v>0</v>
      </c>
      <c r="G7" s="72">
        <f t="shared" si="2"/>
        <v>1</v>
      </c>
      <c r="H7" s="72">
        <f t="shared" si="3"/>
        <v>1</v>
      </c>
      <c r="I7" s="98" t="s">
        <v>147</v>
      </c>
      <c r="J7" t="s">
        <v>106</v>
      </c>
      <c r="L7" s="99"/>
    </row>
    <row r="8" spans="1:16">
      <c r="A8" t="s">
        <v>129</v>
      </c>
      <c r="B8" t="s">
        <v>46</v>
      </c>
      <c r="C8">
        <v>23506.534</v>
      </c>
      <c r="D8" s="96">
        <f t="shared" si="0"/>
        <v>425.41363180126854</v>
      </c>
      <c r="E8" t="s">
        <v>132</v>
      </c>
      <c r="F8" s="72">
        <f t="shared" si="1"/>
        <v>0</v>
      </c>
      <c r="G8" s="72">
        <f t="shared" si="2"/>
        <v>3</v>
      </c>
      <c r="H8" s="72">
        <f t="shared" si="3"/>
        <v>3</v>
      </c>
      <c r="I8" s="98" t="s">
        <v>146</v>
      </c>
      <c r="J8" t="s">
        <v>106</v>
      </c>
      <c r="L8" s="99"/>
    </row>
    <row r="9" spans="1:16">
      <c r="A9" t="s">
        <v>128</v>
      </c>
      <c r="B9" t="s">
        <v>46</v>
      </c>
      <c r="C9">
        <v>22689.903999999999</v>
      </c>
      <c r="D9" s="96">
        <f t="shared" si="0"/>
        <v>440.72465004699887</v>
      </c>
      <c r="E9" t="s">
        <v>133</v>
      </c>
      <c r="F9" s="72">
        <f t="shared" si="1"/>
        <v>0</v>
      </c>
      <c r="G9" s="72">
        <f t="shared" si="2"/>
        <v>3</v>
      </c>
      <c r="H9" s="72">
        <f t="shared" si="3"/>
        <v>3</v>
      </c>
      <c r="I9" s="98" t="s">
        <v>146</v>
      </c>
      <c r="J9" t="s">
        <v>106</v>
      </c>
      <c r="L9" s="99"/>
    </row>
    <row r="10" spans="1:16">
      <c r="A10" t="s">
        <v>127</v>
      </c>
      <c r="B10" t="s">
        <v>46</v>
      </c>
      <c r="C10">
        <v>21369.186000000002</v>
      </c>
      <c r="D10" s="96">
        <f t="shared" si="0"/>
        <v>467.96354339374454</v>
      </c>
      <c r="E10" t="s">
        <v>134</v>
      </c>
      <c r="F10" s="72">
        <f t="shared" si="1"/>
        <v>0</v>
      </c>
      <c r="G10" s="72">
        <f t="shared" si="2"/>
        <v>3</v>
      </c>
      <c r="H10" s="72">
        <f t="shared" si="3"/>
        <v>3</v>
      </c>
      <c r="I10" s="98" t="s">
        <v>146</v>
      </c>
      <c r="J10" t="s">
        <v>106</v>
      </c>
      <c r="L10" s="99"/>
    </row>
    <row r="11" spans="1:16">
      <c r="A11" t="s">
        <v>126</v>
      </c>
      <c r="B11" t="s">
        <v>46</v>
      </c>
      <c r="C11">
        <v>19389.328000000001</v>
      </c>
      <c r="D11" s="96">
        <f t="shared" si="0"/>
        <v>515.74763189317332</v>
      </c>
      <c r="E11" t="s">
        <v>135</v>
      </c>
      <c r="F11" s="72">
        <f t="shared" si="1"/>
        <v>0</v>
      </c>
      <c r="G11" s="72">
        <f t="shared" si="2"/>
        <v>3</v>
      </c>
      <c r="H11" s="72">
        <f t="shared" si="3"/>
        <v>3</v>
      </c>
      <c r="I11" s="98" t="s">
        <v>146</v>
      </c>
      <c r="J11" t="s">
        <v>106</v>
      </c>
      <c r="L11" s="99"/>
    </row>
    <row r="12" spans="1:16">
      <c r="A12" t="s">
        <v>42</v>
      </c>
      <c r="B12" t="s">
        <v>46</v>
      </c>
      <c r="C12">
        <v>17858.044999999998</v>
      </c>
      <c r="D12" s="96">
        <f t="shared" si="0"/>
        <v>559.97171022919929</v>
      </c>
      <c r="E12" t="s">
        <v>136</v>
      </c>
      <c r="F12" s="72">
        <f t="shared" si="1"/>
        <v>0</v>
      </c>
      <c r="G12" s="72">
        <f t="shared" si="2"/>
        <v>3</v>
      </c>
      <c r="H12" s="72">
        <f t="shared" si="3"/>
        <v>3</v>
      </c>
      <c r="I12" s="98" t="s">
        <v>146</v>
      </c>
      <c r="J12" t="s">
        <v>106</v>
      </c>
      <c r="L12" s="99"/>
      <c r="P12" t="s">
        <v>131</v>
      </c>
    </row>
    <row r="13" spans="1:16">
      <c r="A13" t="s">
        <v>42</v>
      </c>
      <c r="B13" t="s">
        <v>4</v>
      </c>
      <c r="C13">
        <v>17186.903999999999</v>
      </c>
      <c r="D13" s="96">
        <f t="shared" si="0"/>
        <v>581.83835785665644</v>
      </c>
      <c r="E13" t="s">
        <v>136</v>
      </c>
      <c r="F13" s="72">
        <f t="shared" si="1"/>
        <v>1</v>
      </c>
      <c r="G13" s="72">
        <f t="shared" si="2"/>
        <v>1</v>
      </c>
      <c r="H13" s="72">
        <f t="shared" si="3"/>
        <v>2</v>
      </c>
      <c r="I13" s="98" t="s">
        <v>148</v>
      </c>
      <c r="J13" t="s">
        <v>106</v>
      </c>
      <c r="L13" s="99"/>
    </row>
    <row r="14" spans="1:16">
      <c r="A14" t="s">
        <v>16</v>
      </c>
      <c r="B14" t="s">
        <v>4</v>
      </c>
      <c r="C14">
        <v>13823.374</v>
      </c>
      <c r="D14" s="96">
        <f t="shared" si="0"/>
        <v>723.41238832140402</v>
      </c>
      <c r="E14" t="s">
        <v>144</v>
      </c>
      <c r="F14" s="72">
        <f t="shared" si="1"/>
        <v>1</v>
      </c>
      <c r="G14" s="72">
        <f t="shared" si="2"/>
        <v>1</v>
      </c>
      <c r="H14" s="72">
        <f t="shared" si="3"/>
        <v>2</v>
      </c>
      <c r="I14" s="98" t="s">
        <v>147</v>
      </c>
      <c r="J14" t="s">
        <v>106</v>
      </c>
      <c r="L14" s="99"/>
    </row>
    <row r="15" spans="1:16">
      <c r="A15" t="s">
        <v>16</v>
      </c>
      <c r="B15" t="s">
        <v>5</v>
      </c>
      <c r="C15">
        <v>13718.641</v>
      </c>
      <c r="D15" s="96">
        <f t="shared" si="0"/>
        <v>728.93517659657402</v>
      </c>
      <c r="E15" t="s">
        <v>145</v>
      </c>
      <c r="F15" s="72">
        <f t="shared" si="1"/>
        <v>1</v>
      </c>
      <c r="G15" s="72">
        <f t="shared" si="2"/>
        <v>1</v>
      </c>
      <c r="H15" s="72">
        <f t="shared" si="3"/>
        <v>1</v>
      </c>
      <c r="I15" s="98" t="s">
        <v>147</v>
      </c>
      <c r="J15" t="s">
        <v>106</v>
      </c>
      <c r="L15" s="99"/>
    </row>
    <row r="16" spans="1:16">
      <c r="A16" t="s">
        <v>42</v>
      </c>
      <c r="B16" t="s">
        <v>11</v>
      </c>
      <c r="C16">
        <v>13677.213</v>
      </c>
      <c r="D16" s="96">
        <f t="shared" si="0"/>
        <v>731.14310642087685</v>
      </c>
      <c r="E16" t="s">
        <v>137</v>
      </c>
      <c r="F16" s="72">
        <f t="shared" si="1"/>
        <v>0</v>
      </c>
      <c r="G16" s="72">
        <f t="shared" si="2"/>
        <v>2</v>
      </c>
      <c r="H16" s="72">
        <f t="shared" si="3"/>
        <v>2</v>
      </c>
      <c r="I16" s="98" t="s">
        <v>147</v>
      </c>
      <c r="J16" t="s">
        <v>106</v>
      </c>
      <c r="L16" s="99"/>
    </row>
    <row r="17" spans="1:12">
      <c r="A17" t="s">
        <v>42</v>
      </c>
      <c r="B17" t="s">
        <v>46</v>
      </c>
      <c r="C17">
        <v>13440.03</v>
      </c>
      <c r="D17" s="96">
        <f t="shared" si="0"/>
        <v>744.04595823074794</v>
      </c>
      <c r="E17" t="s">
        <v>138</v>
      </c>
      <c r="F17" s="72">
        <f t="shared" si="1"/>
        <v>0</v>
      </c>
      <c r="G17" s="72">
        <f t="shared" si="2"/>
        <v>3</v>
      </c>
      <c r="H17" s="72">
        <f t="shared" si="3"/>
        <v>3</v>
      </c>
      <c r="I17" s="98" t="s">
        <v>148</v>
      </c>
      <c r="J17" t="s">
        <v>106</v>
      </c>
      <c r="L17" s="99"/>
    </row>
    <row r="18" spans="1:12">
      <c r="A18" t="s">
        <v>42</v>
      </c>
      <c r="B18" t="s">
        <v>46</v>
      </c>
      <c r="C18">
        <v>13117.165999999999</v>
      </c>
      <c r="D18" s="96">
        <f t="shared" si="0"/>
        <v>762.35979631575913</v>
      </c>
      <c r="E18" t="s">
        <v>139</v>
      </c>
      <c r="F18" s="72">
        <f t="shared" si="1"/>
        <v>0</v>
      </c>
      <c r="G18" s="72">
        <f t="shared" si="2"/>
        <v>3</v>
      </c>
      <c r="H18" s="72">
        <f t="shared" si="3"/>
        <v>3</v>
      </c>
      <c r="I18" s="98" t="s">
        <v>148</v>
      </c>
      <c r="J18" t="s">
        <v>106</v>
      </c>
      <c r="L18" s="99"/>
    </row>
    <row r="29" spans="1:12">
      <c r="A29" t="s">
        <v>149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PhysicsConstants</vt:lpstr>
      <vt:lpstr>Akatsuka2020</vt:lpstr>
      <vt:lpstr>san10</vt:lpstr>
      <vt:lpstr>referred</vt:lpstr>
      <vt:lpstr>easiest</vt:lpstr>
      <vt:lpstr>sansonetti</vt:lpstr>
      <vt:lpstr>driveTransition</vt:lpstr>
      <vt:lpstr>Transition-5S5P</vt:lpstr>
      <vt:lpstr>Transition-1D2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忠宏</dc:creator>
  <cp:lastModifiedBy>takahashi tadahiro</cp:lastModifiedBy>
  <cp:lastPrinted>2023-10-25T09:22:56Z</cp:lastPrinted>
  <dcterms:created xsi:type="dcterms:W3CDTF">2020-04-24T14:12:08Z</dcterms:created>
  <dcterms:modified xsi:type="dcterms:W3CDTF">2023-10-31T06:28:58Z</dcterms:modified>
</cp:coreProperties>
</file>